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6555" windowHeight="2145" activeTab="0"/>
  </bookViews>
  <sheets>
    <sheet name="Notes" sheetId="1" r:id="rId1"/>
    <sheet name="Amortization Table" sheetId="2" r:id="rId2"/>
  </sheets>
  <externalReferences>
    <externalReference r:id="rId5"/>
  </externalReferences>
  <definedNames>
    <definedName name="Beg_Bal">'Amortization Table'!$C$24:$C$178</definedName>
    <definedName name="Data">'Amortization Table'!$A$24:$J$178</definedName>
    <definedName name="End_Bal">'Amortization Table'!$J$24:$J$178</definedName>
    <definedName name="Extra_Pay">'Amortization Table'!$E$24:$E$178</definedName>
    <definedName name="Full_Print">'Amortization Table'!$A$1:$J$178</definedName>
    <definedName name="Header_Row">ROW('Amortization Table'!$23:$23)</definedName>
    <definedName name="Int">'Amortization Table'!$I$24:$I$178</definedName>
    <definedName name="Interest_Rate">'Amortization Table'!$D$5</definedName>
    <definedName name="Last_Row">IF(Values_Entered,Header_Row+Number_of_Payments,Header_Row)</definedName>
    <definedName name="Loan_Amount">'Amortization Table'!$D$4</definedName>
    <definedName name="Loan_Start">'Amortization Table'!$D$7</definedName>
    <definedName name="Loan_Years">'Amortization Table'!$D$6</definedName>
    <definedName name="Lump_Sum">'Amortization Table'!$F$24:$F$178</definedName>
    <definedName name="MoneyAccounts\\AllDates\1">#REF!</definedName>
    <definedName name="MoneyAccounts\\AllDates\2">#REF!</definedName>
    <definedName name="Monthly_Payment">'Amortization Table'!$D$9</definedName>
    <definedName name="Next_Payment">'Amortization Table'!$D$8</definedName>
    <definedName name="Number_of_Payments">MATCH(0.01,End_Bal,-1)+1</definedName>
    <definedName name="Pay_Date">'Amortization Table'!$B$24:$B$178</definedName>
    <definedName name="Pay_Num">'Amortization Table'!$A$24:$A$178</definedName>
    <definedName name="Payment_Date">DATE(YEAR(Loan_Start),MONTH(Loan_Start)+Payment_Number,DAY(Loan_Start))</definedName>
    <definedName name="Princ">'Amortization Table'!$H$24:$H$178</definedName>
    <definedName name="_xlnm.Print_Area" localSheetId="1">OFFSET(Full_Print,0,0,Last_Row)</definedName>
    <definedName name="Print_Area_Reset">OFFSET(Full_Print,0,0,Last_Row)</definedName>
    <definedName name="_xlnm.Print_Titles" localSheetId="1">'Amortization Table'!$23:$23</definedName>
    <definedName name="Sched_Pay">'Amortization Table'!$D$24:$D$178</definedName>
    <definedName name="Scheduled_Extra_Payments">'Amortization Table'!$D$10</definedName>
    <definedName name="Scheduled_Interest_Rate">'Amortization Table'!$D$5</definedName>
    <definedName name="Scheduled_IO_Payment">'Amortization Table'!$D$14</definedName>
    <definedName name="Scheduled_Monthly_Payment">'Amortization Table'!$D$13</definedName>
    <definedName name="Total_Interest">'Amortization Table'!$D$20</definedName>
    <definedName name="Total_Pay">'Amortization Table'!$G$24:$G$178</definedName>
    <definedName name="Total_Payment">Scheduled_Payment+Extra_Payment</definedName>
    <definedName name="Values_Entered">IF(Loan_Amount*Interest_Rate*Loan_Years*Loan_Start&gt;0,1,0)</definedName>
    <definedName name="_xlnm.Print_Titles" localSheetId="1">'Amortization Table'!$23:$23</definedName>
  </definedNames>
  <calcPr fullCalcOnLoad="1"/>
</workbook>
</file>

<file path=xl/sharedStrings.xml><?xml version="1.0" encoding="utf-8"?>
<sst xmlns="http://schemas.openxmlformats.org/spreadsheetml/2006/main" count="62" uniqueCount="62">
  <si>
    <t>Annual Interest Rate</t>
  </si>
  <si>
    <t>Total Interest</t>
  </si>
  <si>
    <t>Start Date of Loan</t>
  </si>
  <si>
    <t>Enter Values</t>
  </si>
  <si>
    <t>No.</t>
  </si>
  <si>
    <t>Payment Date</t>
  </si>
  <si>
    <t>Beginning Balance</t>
  </si>
  <si>
    <t>Principal</t>
  </si>
  <si>
    <t>Interest</t>
  </si>
  <si>
    <t>Ending Balance</t>
  </si>
  <si>
    <t>Total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</si>
  <si>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</si>
  <si>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</si>
  <si>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</si>
  <si>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</si>
  <si>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</si>
  <si>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Lump Sum</t>
  </si>
  <si>
    <t>Payment Adjustment</t>
  </si>
  <si>
    <t>Based on repayment mortgage</t>
  </si>
  <si>
    <t>Total Lump Sum Payments</t>
  </si>
  <si>
    <t>Interest Only Payment</t>
  </si>
  <si>
    <t>Next Payment Date</t>
  </si>
  <si>
    <t>Current Loan Amount</t>
  </si>
  <si>
    <t>Notes</t>
  </si>
  <si>
    <t>Estimate to paying off mortgage</t>
  </si>
  <si>
    <t>Estimated completion Date</t>
  </si>
  <si>
    <t>Estimated Date of Last Payment</t>
  </si>
  <si>
    <t>Years</t>
  </si>
  <si>
    <t>Saved Interest</t>
  </si>
  <si>
    <t>Remaining Loan Period in Years</t>
  </si>
  <si>
    <t>Repayment Payment</t>
  </si>
  <si>
    <t>Monthly Payment</t>
  </si>
  <si>
    <t>Standard payment amount</t>
  </si>
  <si>
    <t>Current Variable rate</t>
  </si>
  <si>
    <t>Static Value</t>
  </si>
  <si>
    <t>months early)</t>
  </si>
  <si>
    <t>Loan Calculator with Extra Payments (With Extra Modifications)</t>
  </si>
  <si>
    <t>Must be between 1 and 30 years. Value in F6</t>
  </si>
  <si>
    <t>Based on endowment/interest only mortgage</t>
  </si>
  <si>
    <t>sample numbers</t>
  </si>
  <si>
    <t>This is how much extra I am paying in per month (interest only payment - monthly payment)</t>
  </si>
  <si>
    <t>To use</t>
  </si>
  <si>
    <t>Use Moneylink to import account balances onto a separate sheet</t>
  </si>
  <si>
    <t>Put in interest rate into F5</t>
  </si>
  <si>
    <t>Put in loan end date in F6</t>
  </si>
  <si>
    <t>Put in start date of loan in F7</t>
  </si>
  <si>
    <t>Put in day of the month you pay your loan in F8. Note. I used to enter my mortgage payments a month in advance, so needed to add +2 to the month to allow it to calculate properly. If you don't do this, then change the first +1 to +0, and the +2 to +1</t>
  </si>
  <si>
    <t>If you pay a fixed amount each month into your mortgage, put it in F8. This should allow the sheet to calculate the amortisation.</t>
  </si>
  <si>
    <t xml:space="preserve">This file is the one I used, in conjunction with Microsoft Money to help me pay off my mortgage early. By importing all my account balances into a separate sheet, using Moneylink, I could instantly see the amortization schedule for the loan. </t>
  </si>
  <si>
    <t>The advantage that I had though, was I could put in various lump sum scenarios in column F, So, if I knew I was getting an extra £1000 in a particular month and wanted to allocate that completely to the loan, I could just put it in the lump sum column.</t>
  </si>
  <si>
    <t>Spreadsheet that I used for mortgage tracking.</t>
  </si>
  <si>
    <t>Edit F4 to link to the balance of your mortgage account, use such a formula as VLOOKUP - e.g. =VLOOKUP("Mortgage Name",'Money Import'!MoneyAccounts\\AllDates\1,5). In that example, the mortgage name is 'mortgage name', the sheet I imported into was 'Money Import'. The value was in column 5.</t>
  </si>
  <si>
    <t xml:space="preserve">Feel free to modify as you need fit. I obtained the base spreadsheet from the Microsoft Office Templates library, and modified it. </t>
  </si>
  <si>
    <t>Glyn Simpson</t>
  </si>
  <si>
    <t>Money MVP</t>
  </si>
  <si>
    <t>http://money.mvps.org</t>
  </si>
  <si>
    <t>I cannot provide any support on this tool.</t>
  </si>
  <si>
    <t>Change your currencies as you require.</t>
  </si>
  <si>
    <t>You require the Analysis Toolpack VB Add-In (tools-&gt;Add-Ins)</t>
  </si>
  <si>
    <t>Cells with a yellow background should be edited.</t>
  </si>
  <si>
    <t>Day of the month in F8</t>
  </si>
  <si>
    <t xml:space="preserve">Latest loan amount. This needs to take the value of your loan from the MoneyLink import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</si>
</sst>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 d\,\ yyyy"/>
    <numFmt numFmtId="174" formatCode="d\-mmm\-yyyy"/>
    <numFmt numFmtId="175" formatCode="mmm\-yyyy"/>
    <numFmt numFmtId="176" formatCode="0.0%"/>
    <numFmt numFmtId="177" formatCode="&quot;£&quot;#,##0.00"/>
    <numFmt numFmtId="178" formatCode="&quot;£&quot;#,##0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809]dd\ mmmm\ yyyy"/>
    <numFmt numFmtId="188" formatCode="0.0000000000"/>
    <numFmt numFmtId="189" formatCode="#,##0.00_ ;\-#,##0.00\ "/>
    <numFmt numFmtId="190" formatCode="&quot;(&quot;#,###"/>
    <numFmt numFmtId="191" formatCode="#,##0.000_);\(#,##0.000\)"/>
    <numFmt numFmtId="192" formatCode="yyyy\-mm\-dd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23"/>
      <name val="Tahoma"/>
      <family val="2"/>
    </font>
    <font>
      <b/>
      <sz val="10"/>
      <color indexed="17"/>
      <name val="Tahoma"/>
      <family val="2"/>
    </font>
    <font>
      <sz val="10"/>
      <color indexed="17"/>
      <name val="Tahoma"/>
      <family val="2"/>
    </font>
    <font>
      <b/>
      <sz val="18"/>
      <color indexed="16"/>
      <name val="Tahoma"/>
      <family val="2"/>
    </font>
    <font>
      <b/>
      <sz val="10"/>
      <color indexed="16"/>
      <name val="Tahoma"/>
      <family val="2"/>
    </font>
    <font>
      <b/>
      <sz val="10"/>
      <color indexed="23"/>
      <name val="Tahom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8" fontId="3" fillId="2" borderId="0" xfId="17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71" fontId="3" fillId="2" borderId="0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right"/>
    </xf>
    <xf numFmtId="14" fontId="3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8" fontId="3" fillId="0" borderId="0" xfId="17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170" fontId="3" fillId="0" borderId="0" xfId="17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8" fontId="5" fillId="0" borderId="0" xfId="17" applyNumberFormat="1" applyFont="1" applyFill="1" applyBorder="1" applyAlignment="1">
      <alignment horizontal="right"/>
    </xf>
    <xf numFmtId="8" fontId="5" fillId="2" borderId="0" xfId="17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10" fontId="3" fillId="2" borderId="0" xfId="0" applyNumberFormat="1" applyFont="1" applyFill="1" applyBorder="1" applyAlignment="1">
      <alignment/>
    </xf>
    <xf numFmtId="7" fontId="3" fillId="0" borderId="0" xfId="15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8" fontId="3" fillId="0" borderId="0" xfId="0" applyNumberFormat="1" applyFont="1" applyBorder="1" applyAlignment="1">
      <alignment horizontal="left"/>
    </xf>
    <xf numFmtId="7" fontId="3" fillId="2" borderId="0" xfId="17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177" fontId="5" fillId="0" borderId="0" xfId="17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5" fillId="3" borderId="0" xfId="0" applyNumberFormat="1" applyFont="1" applyFill="1" applyBorder="1" applyAlignment="1">
      <alignment horizontal="left"/>
    </xf>
    <xf numFmtId="190" fontId="5" fillId="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8" fontId="10" fillId="2" borderId="0" xfId="17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" fillId="0" borderId="0" xfId="20" applyAlignment="1">
      <alignment vertical="top" wrapText="1"/>
    </xf>
    <xf numFmtId="8" fontId="4" fillId="4" borderId="0" xfId="17" applyNumberFormat="1" applyFont="1" applyFill="1" applyBorder="1" applyAlignment="1" applyProtection="1">
      <alignment horizontal="left"/>
      <protection locked="0"/>
    </xf>
    <xf numFmtId="10" fontId="4" fillId="4" borderId="0" xfId="0" applyNumberFormat="1" applyFont="1" applyFill="1" applyBorder="1" applyAlignment="1" applyProtection="1">
      <alignment horizontal="left"/>
      <protection locked="0"/>
    </xf>
    <xf numFmtId="192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fill>
        <patternFill patternType="none">
          <bgColor indexed="65"/>
        </patternFill>
      </fill>
      <border/>
    </dxf>
    <dxf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YEARFRA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ey.mvps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5.140625" style="56" customWidth="1"/>
    <col min="2" max="2" width="88.57421875" style="60" customWidth="1"/>
    <col min="3" max="16384" width="9.140625" style="54" customWidth="1"/>
  </cols>
  <sheetData>
    <row r="1" spans="1:2" s="53" customFormat="1" ht="19.5">
      <c r="A1" s="55"/>
      <c r="B1" s="59" t="s">
        <v>50</v>
      </c>
    </row>
    <row r="3" ht="38.25">
      <c r="B3" s="60" t="s">
        <v>48</v>
      </c>
    </row>
    <row r="5" ht="38.25">
      <c r="B5" s="60" t="s">
        <v>49</v>
      </c>
    </row>
    <row r="7" spans="1:2" s="58" customFormat="1" ht="15">
      <c r="A7" s="57"/>
      <c r="B7" s="61" t="s">
        <v>41</v>
      </c>
    </row>
    <row r="8" spans="1:2" ht="12.75">
      <c r="A8" s="56">
        <v>1</v>
      </c>
      <c r="B8" s="60" t="s">
        <v>42</v>
      </c>
    </row>
    <row r="9" spans="1:2" ht="12.75">
      <c r="A9" s="56">
        <v>2</v>
      </c>
      <c r="B9" s="60" t="s">
        <v>58</v>
      </c>
    </row>
    <row r="10" spans="1:2" ht="12.75">
      <c r="A10" s="56">
        <v>3</v>
      </c>
      <c r="B10" s="60" t="s">
        <v>59</v>
      </c>
    </row>
    <row r="11" spans="1:2" ht="51">
      <c r="A11" s="56">
        <v>4</v>
      </c>
      <c r="B11" s="60" t="s">
        <v>51</v>
      </c>
    </row>
    <row r="12" spans="1:2" ht="12.75">
      <c r="A12" s="56">
        <v>5</v>
      </c>
      <c r="B12" s="60" t="s">
        <v>43</v>
      </c>
    </row>
    <row r="13" spans="1:2" ht="12.75">
      <c r="A13" s="56">
        <v>6</v>
      </c>
      <c r="B13" s="60" t="s">
        <v>44</v>
      </c>
    </row>
    <row r="14" spans="1:2" ht="12.75">
      <c r="A14" s="56">
        <v>7</v>
      </c>
      <c r="B14" s="60" t="s">
        <v>45</v>
      </c>
    </row>
    <row r="15" spans="1:2" ht="38.25">
      <c r="A15" s="56">
        <v>8</v>
      </c>
      <c r="B15" s="60" t="s">
        <v>46</v>
      </c>
    </row>
    <row r="16" spans="1:2" ht="25.5">
      <c r="A16" s="56">
        <v>9</v>
      </c>
      <c r="B16" s="60" t="s">
        <v>47</v>
      </c>
    </row>
    <row r="17" spans="1:2" ht="12.75">
      <c r="A17" s="56">
        <v>10</v>
      </c>
      <c r="B17" s="60" t="s">
        <v>57</v>
      </c>
    </row>
    <row r="19" ht="25.5">
      <c r="B19" s="60" t="s">
        <v>52</v>
      </c>
    </row>
    <row r="21" ht="12.75">
      <c r="B21" s="60" t="s">
        <v>56</v>
      </c>
    </row>
    <row r="23" ht="12.75">
      <c r="B23" s="60" t="s">
        <v>53</v>
      </c>
    </row>
    <row r="24" ht="12.75">
      <c r="B24" s="60" t="s">
        <v>54</v>
      </c>
    </row>
    <row r="25" ht="12.75">
      <c r="B25" s="62" t="s">
        <v>55</v>
      </c>
    </row>
  </sheetData>
  <hyperlinks>
    <hyperlink ref="B25" r:id="rId1" display="http://money.mvps.or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showGridLines="0" zoomScale="85" zoomScaleNormal="85" workbookViewId="0" topLeftCell="A1">
      <selection activeCell="F4" sqref="F4"/>
    </sheetView>
  </sheetViews>
  <sheetFormatPr defaultColWidth="9.140625" defaultRowHeight="12.75"/>
  <cols>
    <col min="1" max="1" width="5.28125" style="19" customWidth="1"/>
    <col min="2" max="2" width="10.421875" style="19" bestFit="1" customWidth="1"/>
    <col min="3" max="3" width="11.8515625" style="19" bestFit="1" customWidth="1"/>
    <col min="4" max="4" width="12.7109375" style="19" bestFit="1" customWidth="1"/>
    <col min="5" max="5" width="12.421875" style="19" bestFit="1" customWidth="1"/>
    <col min="6" max="6" width="13.7109375" style="19" bestFit="1" customWidth="1"/>
    <col min="7" max="7" width="11.7109375" style="19" customWidth="1"/>
    <col min="8" max="8" width="11.28125" style="19" customWidth="1"/>
    <col min="9" max="9" width="9.8515625" style="19" bestFit="1" customWidth="1"/>
    <col min="10" max="10" width="11.8515625" style="19" bestFit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1:10" s="38" customFormat="1" ht="24.75" customHeigh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3"/>
      <c r="B3" s="3"/>
      <c r="C3" s="3"/>
      <c r="D3" s="4" t="s">
        <v>3</v>
      </c>
      <c r="E3" s="5"/>
      <c r="F3" s="5" t="s">
        <v>39</v>
      </c>
      <c r="G3" s="5" t="s">
        <v>23</v>
      </c>
      <c r="H3" s="5"/>
      <c r="I3" s="3"/>
      <c r="J3" s="3"/>
    </row>
    <row r="4" spans="1:10" ht="12.75">
      <c r="A4" s="1" t="s">
        <v>22</v>
      </c>
      <c r="B4" s="1"/>
      <c r="C4" s="1"/>
      <c r="D4" s="6">
        <f>-F4</f>
        <v>100000</v>
      </c>
      <c r="E4" s="29"/>
      <c r="F4" s="63">
        <v>-100000</v>
      </c>
      <c r="G4" s="7" t="s">
        <v>61</v>
      </c>
      <c r="H4" s="8"/>
      <c r="I4" s="1"/>
      <c r="J4" s="1"/>
    </row>
    <row r="5" spans="1:10" ht="12.75">
      <c r="A5" s="1" t="s">
        <v>0</v>
      </c>
      <c r="B5" s="1"/>
      <c r="C5" s="1"/>
      <c r="D5" s="31">
        <f>F5</f>
        <v>0.0525</v>
      </c>
      <c r="E5" s="29"/>
      <c r="F5" s="64">
        <v>0.0525</v>
      </c>
      <c r="G5" s="9" t="s">
        <v>33</v>
      </c>
      <c r="H5" s="10"/>
      <c r="I5" s="1"/>
      <c r="J5" s="11"/>
    </row>
    <row r="6" spans="1:11" ht="12.75">
      <c r="A6" s="1" t="s">
        <v>29</v>
      </c>
      <c r="B6" s="1"/>
      <c r="C6" s="1"/>
      <c r="D6" s="12">
        <f>[1]!YEARFRAC(Next_Payment,F6,4)</f>
        <v>14.905555555555555</v>
      </c>
      <c r="E6" s="29"/>
      <c r="F6" s="65">
        <v>45047</v>
      </c>
      <c r="G6" s="13" t="s">
        <v>37</v>
      </c>
      <c r="H6" s="14"/>
      <c r="I6" s="1"/>
      <c r="J6" s="11"/>
      <c r="K6" s="51"/>
    </row>
    <row r="7" spans="1:10" ht="12.75">
      <c r="A7" s="1" t="s">
        <v>2</v>
      </c>
      <c r="B7" s="1"/>
      <c r="C7" s="1"/>
      <c r="D7" s="15">
        <f>F7</f>
        <v>39569</v>
      </c>
      <c r="E7" s="29"/>
      <c r="F7" s="65">
        <v>39569</v>
      </c>
      <c r="G7" s="13" t="s">
        <v>34</v>
      </c>
      <c r="H7" s="14"/>
      <c r="I7" s="1"/>
      <c r="J7" s="11"/>
    </row>
    <row r="8" spans="1:10" ht="12.75">
      <c r="A8" s="1" t="s">
        <v>21</v>
      </c>
      <c r="B8" s="1"/>
      <c r="C8" s="1"/>
      <c r="D8" s="15">
        <f ca="1">IF(DAY(TODAY())&lt;F8,DATE(YEAR(TODAY()),MONTH(TODAY()),F8),DATE(YEAR(TODAY()),MONTH(TODAY())+1,F8))</f>
        <v>39604</v>
      </c>
      <c r="E8" s="29"/>
      <c r="F8" s="66">
        <v>5</v>
      </c>
      <c r="G8" s="13" t="s">
        <v>60</v>
      </c>
      <c r="H8" s="14"/>
      <c r="I8" s="1"/>
      <c r="J8" s="11"/>
    </row>
    <row r="9" spans="1:10" ht="12.75">
      <c r="A9" s="1" t="s">
        <v>31</v>
      </c>
      <c r="B9" s="1"/>
      <c r="C9" s="1"/>
      <c r="D9" s="40">
        <f>F9</f>
        <v>1000</v>
      </c>
      <c r="E9" s="29"/>
      <c r="F9" s="63">
        <v>1000</v>
      </c>
      <c r="G9" s="13" t="s">
        <v>32</v>
      </c>
      <c r="H9" s="14"/>
      <c r="I9" s="1"/>
      <c r="J9" s="11"/>
    </row>
    <row r="10" spans="1:10" ht="12.75">
      <c r="A10" s="1" t="s">
        <v>15</v>
      </c>
      <c r="B10" s="1"/>
      <c r="C10" s="1"/>
      <c r="D10" s="6">
        <f>(Monthly_Payment-Scheduled_IO_Payment)</f>
        <v>562.5</v>
      </c>
      <c r="E10" s="29"/>
      <c r="F10" s="29"/>
      <c r="G10" s="13" t="s">
        <v>40</v>
      </c>
      <c r="H10" s="13"/>
      <c r="I10" s="47"/>
      <c r="J10" s="11"/>
    </row>
    <row r="11" spans="1:10" ht="3.75" customHeight="1" thickBot="1">
      <c r="A11" s="1"/>
      <c r="B11" s="1"/>
      <c r="C11" s="1"/>
      <c r="D11" s="16"/>
      <c r="E11" s="1"/>
      <c r="F11" s="1"/>
      <c r="G11" s="16"/>
      <c r="H11" s="16"/>
      <c r="I11" s="1"/>
      <c r="J11" s="11"/>
    </row>
    <row r="12" spans="1:10" ht="2.25" customHeight="1">
      <c r="A12" s="3"/>
      <c r="B12" s="3"/>
      <c r="C12" s="3"/>
      <c r="D12" s="3"/>
      <c r="E12" s="3"/>
      <c r="F12" s="3"/>
      <c r="G12" s="3"/>
      <c r="H12" s="3"/>
      <c r="I12" s="3"/>
      <c r="J12" s="17"/>
    </row>
    <row r="13" spans="1:10" ht="12.75">
      <c r="A13" s="1" t="s">
        <v>30</v>
      </c>
      <c r="B13" s="1"/>
      <c r="C13" s="1"/>
      <c r="D13" s="18">
        <f>IF(Values_Entered,-PMT(Interest_Rate/12,Loan_Years*12,Loan_Amount),"")</f>
        <v>807.2305396852574</v>
      </c>
      <c r="E13" s="29"/>
      <c r="G13" s="20" t="s">
        <v>18</v>
      </c>
      <c r="H13" s="8"/>
      <c r="I13" s="1"/>
      <c r="J13" s="11"/>
    </row>
    <row r="14" spans="1:10" ht="12.75">
      <c r="A14" s="1" t="s">
        <v>20</v>
      </c>
      <c r="B14" s="1"/>
      <c r="C14" s="1"/>
      <c r="D14" s="18">
        <f>IF(Values_Entered,-PMT(Interest_Rate/12,Loan_Years*12,Loan_Amount,-Loan_Amount),"")</f>
        <v>437.49999999999994</v>
      </c>
      <c r="E14" s="29"/>
      <c r="G14" s="20" t="s">
        <v>38</v>
      </c>
      <c r="H14" s="8"/>
      <c r="I14" s="1"/>
      <c r="J14" s="11"/>
    </row>
    <row r="15" spans="1:10" ht="12.75">
      <c r="A15" s="1" t="s">
        <v>13</v>
      </c>
      <c r="B15" s="1"/>
      <c r="C15" s="1"/>
      <c r="D15" s="30">
        <f>IF(Values_Entered,ROUND(Loan_Years*12,0),"")</f>
        <v>179</v>
      </c>
      <c r="E15" s="29"/>
      <c r="F15" s="29"/>
      <c r="G15" s="8"/>
      <c r="H15" s="8"/>
      <c r="I15" s="1"/>
      <c r="J15" s="11"/>
    </row>
    <row r="16" spans="1:12" ht="12.75">
      <c r="A16" s="1" t="s">
        <v>14</v>
      </c>
      <c r="B16" s="1"/>
      <c r="C16" s="1"/>
      <c r="D16" s="21">
        <f>IF(Values_Entered,Number_of_Payments,"")</f>
        <v>132</v>
      </c>
      <c r="E16" s="48"/>
      <c r="F16" s="1"/>
      <c r="G16" s="20" t="s">
        <v>24</v>
      </c>
      <c r="H16" s="22"/>
      <c r="I16" s="1"/>
      <c r="J16" s="11"/>
      <c r="L16" s="23"/>
    </row>
    <row r="17" spans="1:12" s="41" customFormat="1" ht="12.75">
      <c r="A17" s="42" t="s">
        <v>26</v>
      </c>
      <c r="B17" s="42"/>
      <c r="C17" s="42"/>
      <c r="D17" s="43">
        <f>VLOOKUP(D16,A23:B178,2)</f>
        <v>43590</v>
      </c>
      <c r="E17" s="44">
        <f ca="1">[1]!YEARFRAC(TODAY(),D17,4)</f>
        <v>10.977777777777778</v>
      </c>
      <c r="F17" s="42" t="s">
        <v>27</v>
      </c>
      <c r="G17" s="45" t="s">
        <v>25</v>
      </c>
      <c r="H17" s="46"/>
      <c r="I17" s="50">
        <f>D15-D16</f>
        <v>47</v>
      </c>
      <c r="J17" s="49" t="s">
        <v>35</v>
      </c>
      <c r="L17" s="23"/>
    </row>
    <row r="18" spans="1:10" ht="12.75">
      <c r="A18" s="1" t="s">
        <v>11</v>
      </c>
      <c r="B18" s="1"/>
      <c r="C18" s="1"/>
      <c r="D18" s="18">
        <f>IF(Values_Entered,SUMIF(Beg_Bal,"&gt;0",Extra_Pay),"")</f>
        <v>74250</v>
      </c>
      <c r="E18" s="1"/>
      <c r="F18" s="1"/>
      <c r="G18" s="33"/>
      <c r="H18" s="22"/>
      <c r="I18" s="1"/>
      <c r="J18" s="11"/>
    </row>
    <row r="19" spans="1:10" ht="12.75">
      <c r="A19" s="1" t="s">
        <v>19</v>
      </c>
      <c r="B19" s="1"/>
      <c r="C19" s="1"/>
      <c r="D19" s="18">
        <f>IF(Values_Entered,SUMIF(Beg_Bal,"&gt;0",Lump_Sum),"")</f>
        <v>0</v>
      </c>
      <c r="E19" s="1"/>
      <c r="F19" s="29"/>
      <c r="G19" s="22"/>
      <c r="H19" s="22"/>
      <c r="I19" s="1"/>
      <c r="J19" s="11"/>
    </row>
    <row r="20" spans="1:10" ht="12.75">
      <c r="A20" s="1" t="s">
        <v>1</v>
      </c>
      <c r="B20" s="1"/>
      <c r="C20" s="1"/>
      <c r="D20" s="18">
        <f>IF(Values_Entered,SUMIF(Beg_Bal,"&gt;0",Int),"")</f>
        <v>31799.62734058947</v>
      </c>
      <c r="E20" s="2"/>
      <c r="F20" s="1"/>
      <c r="G20" s="8"/>
      <c r="H20" s="8"/>
      <c r="I20" s="1"/>
      <c r="J20" s="11"/>
    </row>
    <row r="21" spans="1:10" ht="12.75">
      <c r="A21" s="1" t="s">
        <v>28</v>
      </c>
      <c r="B21" s="1"/>
      <c r="C21" s="1"/>
      <c r="D21" s="32">
        <f>(Loan_Years*Scheduled_IO_Payment*12)-Total_Interest</f>
        <v>46454.53932607718</v>
      </c>
      <c r="E21" s="39"/>
      <c r="F21" s="1"/>
      <c r="G21" s="8"/>
      <c r="H21" s="8"/>
      <c r="I21" s="1"/>
      <c r="J21" s="11"/>
    </row>
    <row r="22" spans="1:10" ht="4.5" customHeight="1" thickBot="1">
      <c r="A22" s="1"/>
      <c r="B22" s="1"/>
      <c r="C22" s="1"/>
      <c r="D22" s="1"/>
      <c r="E22" s="16"/>
      <c r="F22" s="16"/>
      <c r="G22" s="16"/>
      <c r="H22" s="16"/>
      <c r="I22" s="1"/>
      <c r="J22" s="1"/>
    </row>
    <row r="23" spans="1:10" s="35" customFormat="1" ht="26.25" thickBot="1">
      <c r="A23" s="34" t="s">
        <v>4</v>
      </c>
      <c r="B23" s="34" t="s">
        <v>5</v>
      </c>
      <c r="C23" s="34" t="s">
        <v>6</v>
      </c>
      <c r="D23" s="34" t="s">
        <v>12</v>
      </c>
      <c r="E23" s="34" t="s">
        <v>17</v>
      </c>
      <c r="F23" s="34" t="s">
        <v>16</v>
      </c>
      <c r="G23" s="34" t="s">
        <v>10</v>
      </c>
      <c r="H23" s="34" t="s">
        <v>7</v>
      </c>
      <c r="I23" s="34" t="s">
        <v>8</v>
      </c>
      <c r="J23" s="34" t="s">
        <v>9</v>
      </c>
    </row>
    <row r="24" spans="1:10" s="28" customFormat="1" ht="12.75">
      <c r="A24" s="24">
        <f>IF(Values_Entered,1,"")</f>
        <v>1</v>
      </c>
      <c r="B24" s="25">
        <f>IF(Pay_Num&lt;&gt;"",Next_Payment,"")</f>
        <v>39604</v>
      </c>
      <c r="C24" s="26">
        <f>IF(Values_Entered,Loan_Amount,"")</f>
        <v>100000</v>
      </c>
      <c r="D24" s="26">
        <f>IF(Pay_Num&lt;&gt;"",Scheduled_IO_Payment,"")</f>
        <v>437.49999999999994</v>
      </c>
      <c r="E24" s="27">
        <f>IF(Pay_Num&lt;&gt;"",Scheduled_Extra_Payments,"")</f>
        <v>562.5</v>
      </c>
      <c r="F24" s="52"/>
      <c r="G24" s="26">
        <f>IF(Pay_Num&lt;&gt;"",Sched_Pay+Extra_Pay+Lump_Sum,"")</f>
        <v>1000</v>
      </c>
      <c r="H24" s="26">
        <f>IF(Pay_Num&lt;&gt;"",Total_Pay-Int,"")</f>
        <v>562.5</v>
      </c>
      <c r="I24" s="26">
        <f>IF(Pay_Num&lt;&gt;"",Beg_Bal*Interest_Rate/12,"")</f>
        <v>437.5</v>
      </c>
      <c r="J24" s="26">
        <f>IF(Pay_Num&lt;&gt;"",Beg_Bal-Princ,"")</f>
        <v>99437.5</v>
      </c>
    </row>
    <row r="25" spans="1:11" s="28" customFormat="1" ht="12.75" customHeight="1">
      <c r="A25" s="24">
        <f aca="true" t="shared" si="0" ref="A25:A88">IF(Values_Entered,A24+1,"")</f>
        <v>2</v>
      </c>
      <c r="B25" s="25">
        <f aca="true" t="shared" si="1" ref="B25:B88">IF(Pay_Num&lt;&gt;"",DATE(YEAR(B24),MONTH(B24)+1,DAY(B24)),"")</f>
        <v>39634</v>
      </c>
      <c r="C25" s="26">
        <f>IF(Pay_Num&lt;&gt;"",J24,"")</f>
        <v>99437.5</v>
      </c>
      <c r="D25" s="26">
        <f aca="true" t="shared" si="2" ref="D25:D87">IF(Pay_Num&lt;&gt;"",Scheduled_IO_Payment,"")</f>
        <v>437.49999999999994</v>
      </c>
      <c r="E25" s="27">
        <f aca="true" t="shared" si="3" ref="E25:E88">IF(Pay_Num&lt;&gt;"",Scheduled_Extra_Payments,"")</f>
        <v>562.5</v>
      </c>
      <c r="F25" s="27"/>
      <c r="G25" s="26">
        <f aca="true" t="shared" si="4" ref="G25:G88">IF(Pay_Num&lt;&gt;"",Sched_Pay+Extra_Pay+Lump_Sum,"")</f>
        <v>1000</v>
      </c>
      <c r="H25" s="26">
        <f aca="true" t="shared" si="5" ref="H25:H88">IF(Pay_Num&lt;&gt;"",Total_Pay-Int,"")</f>
        <v>564.9609375</v>
      </c>
      <c r="I25" s="26">
        <f>IF(Pay_Num&lt;&gt;"",Beg_Bal*Interest_Rate/12,"")</f>
        <v>435.0390625</v>
      </c>
      <c r="J25" s="26">
        <f aca="true" t="shared" si="6" ref="J25:J88">IF(Pay_Num&lt;&gt;"",Beg_Bal-Princ,"")</f>
        <v>98872.5390625</v>
      </c>
      <c r="K25" s="26"/>
    </row>
    <row r="26" spans="1:11" s="28" customFormat="1" ht="12.75" customHeight="1">
      <c r="A26" s="24">
        <f t="shared" si="0"/>
        <v>3</v>
      </c>
      <c r="B26" s="25">
        <f t="shared" si="1"/>
        <v>39665</v>
      </c>
      <c r="C26" s="26">
        <f aca="true" t="shared" si="7" ref="C26:C89">IF(Pay_Num&lt;&gt;"",J25,"")</f>
        <v>98872.5390625</v>
      </c>
      <c r="D26" s="26">
        <f t="shared" si="2"/>
        <v>437.49999999999994</v>
      </c>
      <c r="E26" s="27">
        <f>IF(Pay_Num&lt;&gt;"",Scheduled_Extra_Payments,"")</f>
        <v>562.5</v>
      </c>
      <c r="F26" s="27"/>
      <c r="G26" s="26">
        <f t="shared" si="4"/>
        <v>1000</v>
      </c>
      <c r="H26" s="26">
        <f t="shared" si="5"/>
        <v>567.4326416015624</v>
      </c>
      <c r="I26" s="26">
        <f aca="true" t="shared" si="8" ref="I26:I89">IF(Pay_Num&lt;&gt;"",Beg_Bal*Interest_Rate/12,"")</f>
        <v>432.56735839843753</v>
      </c>
      <c r="J26" s="26">
        <f t="shared" si="6"/>
        <v>98305.10642089843</v>
      </c>
      <c r="K26" s="26"/>
    </row>
    <row r="27" spans="1:11" s="28" customFormat="1" ht="12.75">
      <c r="A27" s="24">
        <f t="shared" si="0"/>
        <v>4</v>
      </c>
      <c r="B27" s="25">
        <f t="shared" si="1"/>
        <v>39696</v>
      </c>
      <c r="C27" s="26">
        <f t="shared" si="7"/>
        <v>98305.10642089843</v>
      </c>
      <c r="D27" s="26">
        <f t="shared" si="2"/>
        <v>437.49999999999994</v>
      </c>
      <c r="E27" s="27">
        <f t="shared" si="3"/>
        <v>562.5</v>
      </c>
      <c r="F27" s="27"/>
      <c r="G27" s="26">
        <f t="shared" si="4"/>
        <v>1000</v>
      </c>
      <c r="H27" s="26">
        <f t="shared" si="5"/>
        <v>569.9151594085695</v>
      </c>
      <c r="I27" s="26">
        <f t="shared" si="8"/>
        <v>430.0848405914306</v>
      </c>
      <c r="J27" s="26">
        <f t="shared" si="6"/>
        <v>97735.19126148986</v>
      </c>
      <c r="K27" s="26"/>
    </row>
    <row r="28" spans="1:11" s="28" customFormat="1" ht="12.75">
      <c r="A28" s="24">
        <f t="shared" si="0"/>
        <v>5</v>
      </c>
      <c r="B28" s="25">
        <f t="shared" si="1"/>
        <v>39726</v>
      </c>
      <c r="C28" s="26">
        <f t="shared" si="7"/>
        <v>97735.19126148986</v>
      </c>
      <c r="D28" s="26">
        <f t="shared" si="2"/>
        <v>437.49999999999994</v>
      </c>
      <c r="E28" s="27">
        <f t="shared" si="3"/>
        <v>562.5</v>
      </c>
      <c r="F28" s="27"/>
      <c r="G28" s="26">
        <f t="shared" si="4"/>
        <v>1000</v>
      </c>
      <c r="H28" s="26">
        <f t="shared" si="5"/>
        <v>572.4085382309818</v>
      </c>
      <c r="I28" s="26">
        <f t="shared" si="8"/>
        <v>427.59146176901817</v>
      </c>
      <c r="J28" s="26">
        <f t="shared" si="6"/>
        <v>97162.78272325888</v>
      </c>
      <c r="K28" s="26"/>
    </row>
    <row r="29" spans="1:11" ht="12.75">
      <c r="A29" s="24">
        <f t="shared" si="0"/>
        <v>6</v>
      </c>
      <c r="B29" s="25">
        <f t="shared" si="1"/>
        <v>39757</v>
      </c>
      <c r="C29" s="26">
        <f>IF(Pay_Num&lt;&gt;"",J28,"")</f>
        <v>97162.78272325888</v>
      </c>
      <c r="D29" s="26">
        <f t="shared" si="2"/>
        <v>437.49999999999994</v>
      </c>
      <c r="E29" s="27">
        <f t="shared" si="3"/>
        <v>562.5</v>
      </c>
      <c r="F29" s="27"/>
      <c r="G29" s="26">
        <f t="shared" si="4"/>
        <v>1000</v>
      </c>
      <c r="H29" s="26">
        <f t="shared" si="5"/>
        <v>574.9128255857424</v>
      </c>
      <c r="I29" s="26">
        <f t="shared" si="8"/>
        <v>425.08717441425756</v>
      </c>
      <c r="J29" s="26">
        <f t="shared" si="6"/>
        <v>96587.86989767314</v>
      </c>
      <c r="K29" s="26"/>
    </row>
    <row r="30" spans="1:11" ht="12.75">
      <c r="A30" s="24">
        <f t="shared" si="0"/>
        <v>7</v>
      </c>
      <c r="B30" s="25">
        <f t="shared" si="1"/>
        <v>39787</v>
      </c>
      <c r="C30" s="26">
        <f t="shared" si="7"/>
        <v>96587.86989767314</v>
      </c>
      <c r="D30" s="26">
        <f t="shared" si="2"/>
        <v>437.49999999999994</v>
      </c>
      <c r="E30" s="27">
        <f t="shared" si="3"/>
        <v>562.5</v>
      </c>
      <c r="F30" s="27"/>
      <c r="G30" s="26">
        <f t="shared" si="4"/>
        <v>1000</v>
      </c>
      <c r="H30" s="26">
        <f t="shared" si="5"/>
        <v>577.4280691976801</v>
      </c>
      <c r="I30" s="26">
        <f t="shared" si="8"/>
        <v>422.57193080231997</v>
      </c>
      <c r="J30" s="26">
        <f t="shared" si="6"/>
        <v>96010.44182847546</v>
      </c>
      <c r="K30" s="26"/>
    </row>
    <row r="31" spans="1:12" ht="12.75">
      <c r="A31" s="24">
        <f t="shared" si="0"/>
        <v>8</v>
      </c>
      <c r="B31" s="25">
        <f t="shared" si="1"/>
        <v>39818</v>
      </c>
      <c r="C31" s="26">
        <f>IF(Pay_Num&lt;&gt;"",J30,"")</f>
        <v>96010.44182847546</v>
      </c>
      <c r="D31" s="26">
        <f t="shared" si="2"/>
        <v>437.49999999999994</v>
      </c>
      <c r="E31" s="27">
        <f>IF(Pay_Num&lt;&gt;"",Scheduled_Extra_Payments,"")</f>
        <v>562.5</v>
      </c>
      <c r="F31" s="27"/>
      <c r="G31" s="26">
        <f t="shared" si="4"/>
        <v>1000</v>
      </c>
      <c r="H31" s="26">
        <f t="shared" si="5"/>
        <v>579.9543170004199</v>
      </c>
      <c r="I31" s="26">
        <f t="shared" si="8"/>
        <v>420.04568299958015</v>
      </c>
      <c r="J31" s="26">
        <f t="shared" si="6"/>
        <v>95430.48751147505</v>
      </c>
      <c r="K31" s="26"/>
      <c r="L31" s="51"/>
    </row>
    <row r="32" spans="1:11" ht="12.75">
      <c r="A32" s="24">
        <f t="shared" si="0"/>
        <v>9</v>
      </c>
      <c r="B32" s="25">
        <f t="shared" si="1"/>
        <v>39849</v>
      </c>
      <c r="C32" s="26">
        <f t="shared" si="7"/>
        <v>95430.48751147505</v>
      </c>
      <c r="D32" s="26">
        <f t="shared" si="2"/>
        <v>437.49999999999994</v>
      </c>
      <c r="E32" s="27">
        <f t="shared" si="3"/>
        <v>562.5</v>
      </c>
      <c r="F32" s="27"/>
      <c r="G32" s="26">
        <f t="shared" si="4"/>
        <v>1000</v>
      </c>
      <c r="H32" s="26">
        <f t="shared" si="5"/>
        <v>582.4916171372968</v>
      </c>
      <c r="I32" s="26">
        <f t="shared" si="8"/>
        <v>417.5083828627033</v>
      </c>
      <c r="J32" s="26">
        <f t="shared" si="6"/>
        <v>94847.99589433776</v>
      </c>
      <c r="K32" s="26"/>
    </row>
    <row r="33" spans="1:11" ht="12.75">
      <c r="A33" s="24">
        <f t="shared" si="0"/>
        <v>10</v>
      </c>
      <c r="B33" s="25">
        <f t="shared" si="1"/>
        <v>39877</v>
      </c>
      <c r="C33" s="26">
        <f t="shared" si="7"/>
        <v>94847.99589433776</v>
      </c>
      <c r="D33" s="26">
        <f t="shared" si="2"/>
        <v>437.49999999999994</v>
      </c>
      <c r="E33" s="27">
        <f t="shared" si="3"/>
        <v>562.5</v>
      </c>
      <c r="F33" s="27"/>
      <c r="G33" s="26">
        <f t="shared" si="4"/>
        <v>1000</v>
      </c>
      <c r="H33" s="26">
        <f t="shared" si="5"/>
        <v>585.0400179622723</v>
      </c>
      <c r="I33" s="26">
        <f t="shared" si="8"/>
        <v>414.9599820377277</v>
      </c>
      <c r="J33" s="26">
        <f t="shared" si="6"/>
        <v>94262.95587637549</v>
      </c>
      <c r="K33" s="26"/>
    </row>
    <row r="34" spans="1:11" ht="12.75">
      <c r="A34" s="24">
        <f t="shared" si="0"/>
        <v>11</v>
      </c>
      <c r="B34" s="25">
        <f t="shared" si="1"/>
        <v>39908</v>
      </c>
      <c r="C34" s="26">
        <f t="shared" si="7"/>
        <v>94262.95587637549</v>
      </c>
      <c r="D34" s="26">
        <f t="shared" si="2"/>
        <v>437.49999999999994</v>
      </c>
      <c r="E34" s="27">
        <f t="shared" si="3"/>
        <v>562.5</v>
      </c>
      <c r="F34" s="27"/>
      <c r="G34" s="26">
        <f t="shared" si="4"/>
        <v>1000</v>
      </c>
      <c r="H34" s="26">
        <f t="shared" si="5"/>
        <v>587.5995680408573</v>
      </c>
      <c r="I34" s="26">
        <f t="shared" si="8"/>
        <v>412.40043195914274</v>
      </c>
      <c r="J34" s="26">
        <f t="shared" si="6"/>
        <v>93675.35630833464</v>
      </c>
      <c r="K34" s="26"/>
    </row>
    <row r="35" spans="1:11" ht="12.75">
      <c r="A35" s="24">
        <f t="shared" si="0"/>
        <v>12</v>
      </c>
      <c r="B35" s="25">
        <f t="shared" si="1"/>
        <v>39938</v>
      </c>
      <c r="C35" s="26">
        <f t="shared" si="7"/>
        <v>93675.35630833464</v>
      </c>
      <c r="D35" s="26">
        <f t="shared" si="2"/>
        <v>437.49999999999994</v>
      </c>
      <c r="E35" s="27">
        <f t="shared" si="3"/>
        <v>562.5</v>
      </c>
      <c r="F35" s="27"/>
      <c r="G35" s="26">
        <f t="shared" si="4"/>
        <v>1000</v>
      </c>
      <c r="H35" s="26">
        <f t="shared" si="5"/>
        <v>590.1703161510359</v>
      </c>
      <c r="I35" s="26">
        <f t="shared" si="8"/>
        <v>409.82968384896407</v>
      </c>
      <c r="J35" s="26">
        <f t="shared" si="6"/>
        <v>93085.1859921836</v>
      </c>
      <c r="K35" s="26"/>
    </row>
    <row r="36" spans="1:11" ht="12.75">
      <c r="A36" s="24">
        <f t="shared" si="0"/>
        <v>13</v>
      </c>
      <c r="B36" s="25">
        <f t="shared" si="1"/>
        <v>39969</v>
      </c>
      <c r="C36" s="26">
        <f t="shared" si="7"/>
        <v>93085.1859921836</v>
      </c>
      <c r="D36" s="26">
        <f t="shared" si="2"/>
        <v>437.49999999999994</v>
      </c>
      <c r="E36" s="27">
        <f t="shared" si="3"/>
        <v>562.5</v>
      </c>
      <c r="F36" s="27"/>
      <c r="G36" s="26">
        <f t="shared" si="4"/>
        <v>1000</v>
      </c>
      <c r="H36" s="26">
        <f t="shared" si="5"/>
        <v>592.7523112841968</v>
      </c>
      <c r="I36" s="26">
        <f t="shared" si="8"/>
        <v>407.24768871580324</v>
      </c>
      <c r="J36" s="26">
        <f t="shared" si="6"/>
        <v>92492.4336808994</v>
      </c>
      <c r="K36" s="26"/>
    </row>
    <row r="37" spans="1:11" ht="12.75">
      <c r="A37" s="24">
        <f t="shared" si="0"/>
        <v>14</v>
      </c>
      <c r="B37" s="25">
        <f t="shared" si="1"/>
        <v>39999</v>
      </c>
      <c r="C37" s="26">
        <f t="shared" si="7"/>
        <v>92492.4336808994</v>
      </c>
      <c r="D37" s="26">
        <f t="shared" si="2"/>
        <v>437.49999999999994</v>
      </c>
      <c r="E37" s="27">
        <f t="shared" si="3"/>
        <v>562.5</v>
      </c>
      <c r="F37" s="27"/>
      <c r="G37" s="26">
        <f t="shared" si="4"/>
        <v>1000</v>
      </c>
      <c r="H37" s="26">
        <f t="shared" si="5"/>
        <v>595.3456026460651</v>
      </c>
      <c r="I37" s="26">
        <f t="shared" si="8"/>
        <v>404.6543973539349</v>
      </c>
      <c r="J37" s="26">
        <f t="shared" si="6"/>
        <v>91897.08807825333</v>
      </c>
      <c r="K37" s="26"/>
    </row>
    <row r="38" spans="1:11" ht="12.75">
      <c r="A38" s="24">
        <f t="shared" si="0"/>
        <v>15</v>
      </c>
      <c r="B38" s="25">
        <f t="shared" si="1"/>
        <v>40030</v>
      </c>
      <c r="C38" s="26">
        <f t="shared" si="7"/>
        <v>91897.08807825333</v>
      </c>
      <c r="D38" s="26">
        <f t="shared" si="2"/>
        <v>437.49999999999994</v>
      </c>
      <c r="E38" s="27">
        <f t="shared" si="3"/>
        <v>562.5</v>
      </c>
      <c r="F38" s="27"/>
      <c r="G38" s="26">
        <f t="shared" si="4"/>
        <v>1000</v>
      </c>
      <c r="H38" s="26">
        <f t="shared" si="5"/>
        <v>597.9502396576418</v>
      </c>
      <c r="I38" s="26">
        <f t="shared" si="8"/>
        <v>402.0497603423583</v>
      </c>
      <c r="J38" s="26">
        <f t="shared" si="6"/>
        <v>91299.13783859569</v>
      </c>
      <c r="K38" s="26"/>
    </row>
    <row r="39" spans="1:11" ht="12.75">
      <c r="A39" s="24">
        <f t="shared" si="0"/>
        <v>16</v>
      </c>
      <c r="B39" s="25">
        <f t="shared" si="1"/>
        <v>40061</v>
      </c>
      <c r="C39" s="26">
        <f t="shared" si="7"/>
        <v>91299.13783859569</v>
      </c>
      <c r="D39" s="26">
        <f t="shared" si="2"/>
        <v>437.49999999999994</v>
      </c>
      <c r="E39" s="27">
        <f t="shared" si="3"/>
        <v>562.5</v>
      </c>
      <c r="F39" s="27"/>
      <c r="G39" s="26">
        <f t="shared" si="4"/>
        <v>1000</v>
      </c>
      <c r="H39" s="26">
        <f t="shared" si="5"/>
        <v>600.566271956144</v>
      </c>
      <c r="I39" s="26">
        <f t="shared" si="8"/>
        <v>399.4337280438561</v>
      </c>
      <c r="J39" s="26">
        <f t="shared" si="6"/>
        <v>90698.57156663956</v>
      </c>
      <c r="K39" s="26"/>
    </row>
    <row r="40" spans="1:11" ht="12.75">
      <c r="A40" s="24">
        <f t="shared" si="0"/>
        <v>17</v>
      </c>
      <c r="B40" s="25">
        <f t="shared" si="1"/>
        <v>40091</v>
      </c>
      <c r="C40" s="26">
        <f t="shared" si="7"/>
        <v>90698.57156663956</v>
      </c>
      <c r="D40" s="26">
        <f t="shared" si="2"/>
        <v>437.49999999999994</v>
      </c>
      <c r="E40" s="27">
        <f t="shared" si="3"/>
        <v>562.5</v>
      </c>
      <c r="F40" s="27"/>
      <c r="G40" s="26">
        <f t="shared" si="4"/>
        <v>1000</v>
      </c>
      <c r="H40" s="26">
        <f t="shared" si="5"/>
        <v>603.193749395952</v>
      </c>
      <c r="I40" s="26">
        <f t="shared" si="8"/>
        <v>396.80625060404805</v>
      </c>
      <c r="J40" s="26">
        <f t="shared" si="6"/>
        <v>90095.3778172436</v>
      </c>
      <c r="K40" s="26"/>
    </row>
    <row r="41" spans="1:11" ht="12.75">
      <c r="A41" s="24">
        <f t="shared" si="0"/>
        <v>18</v>
      </c>
      <c r="B41" s="25">
        <f t="shared" si="1"/>
        <v>40122</v>
      </c>
      <c r="C41" s="26">
        <f t="shared" si="7"/>
        <v>90095.3778172436</v>
      </c>
      <c r="D41" s="26">
        <f t="shared" si="2"/>
        <v>437.49999999999994</v>
      </c>
      <c r="E41" s="27">
        <f t="shared" si="3"/>
        <v>562.5</v>
      </c>
      <c r="F41" s="27"/>
      <c r="G41" s="26">
        <f t="shared" si="4"/>
        <v>1000</v>
      </c>
      <c r="H41" s="26">
        <f t="shared" si="5"/>
        <v>605.8327220495594</v>
      </c>
      <c r="I41" s="26">
        <f t="shared" si="8"/>
        <v>394.1672779504407</v>
      </c>
      <c r="J41" s="26">
        <f t="shared" si="6"/>
        <v>89489.54509519404</v>
      </c>
      <c r="K41" s="26"/>
    </row>
    <row r="42" spans="1:11" ht="12.75">
      <c r="A42" s="24">
        <f t="shared" si="0"/>
        <v>19</v>
      </c>
      <c r="B42" s="25">
        <f t="shared" si="1"/>
        <v>40152</v>
      </c>
      <c r="C42" s="26">
        <f t="shared" si="7"/>
        <v>89489.54509519404</v>
      </c>
      <c r="D42" s="26">
        <f t="shared" si="2"/>
        <v>437.49999999999994</v>
      </c>
      <c r="E42" s="27">
        <f t="shared" si="3"/>
        <v>562.5</v>
      </c>
      <c r="F42" s="27"/>
      <c r="G42" s="26">
        <f t="shared" si="4"/>
        <v>1000</v>
      </c>
      <c r="H42" s="26">
        <f t="shared" si="5"/>
        <v>608.483240208526</v>
      </c>
      <c r="I42" s="26">
        <f t="shared" si="8"/>
        <v>391.51675979147393</v>
      </c>
      <c r="J42" s="26">
        <f t="shared" si="6"/>
        <v>88881.06185498551</v>
      </c>
      <c r="K42" s="26"/>
    </row>
    <row r="43" spans="1:11" ht="12.75">
      <c r="A43" s="24">
        <f t="shared" si="0"/>
        <v>20</v>
      </c>
      <c r="B43" s="25">
        <f t="shared" si="1"/>
        <v>40183</v>
      </c>
      <c r="C43" s="26">
        <f t="shared" si="7"/>
        <v>88881.06185498551</v>
      </c>
      <c r="D43" s="26">
        <f t="shared" si="2"/>
        <v>437.49999999999994</v>
      </c>
      <c r="E43" s="27">
        <f t="shared" si="3"/>
        <v>562.5</v>
      </c>
      <c r="F43" s="27"/>
      <c r="G43" s="26">
        <f t="shared" si="4"/>
        <v>1000</v>
      </c>
      <c r="H43" s="26">
        <f t="shared" si="5"/>
        <v>611.1453543844384</v>
      </c>
      <c r="I43" s="26">
        <f t="shared" si="8"/>
        <v>388.8546456155616</v>
      </c>
      <c r="J43" s="26">
        <f t="shared" si="6"/>
        <v>88269.91650060107</v>
      </c>
      <c r="K43" s="26"/>
    </row>
    <row r="44" spans="1:11" ht="12.75">
      <c r="A44" s="24">
        <f t="shared" si="0"/>
        <v>21</v>
      </c>
      <c r="B44" s="25">
        <f t="shared" si="1"/>
        <v>40214</v>
      </c>
      <c r="C44" s="26">
        <f t="shared" si="7"/>
        <v>88269.91650060107</v>
      </c>
      <c r="D44" s="26">
        <f t="shared" si="2"/>
        <v>437.49999999999994</v>
      </c>
      <c r="E44" s="27">
        <f t="shared" si="3"/>
        <v>562.5</v>
      </c>
      <c r="F44" s="27"/>
      <c r="G44" s="26">
        <f t="shared" si="4"/>
        <v>1000</v>
      </c>
      <c r="H44" s="26">
        <f t="shared" si="5"/>
        <v>613.8191153098703</v>
      </c>
      <c r="I44" s="26">
        <f t="shared" si="8"/>
        <v>386.1808846901297</v>
      </c>
      <c r="J44" s="26">
        <f t="shared" si="6"/>
        <v>87656.0973852912</v>
      </c>
      <c r="K44" s="26"/>
    </row>
    <row r="45" spans="1:11" ht="12.75">
      <c r="A45" s="24">
        <f t="shared" si="0"/>
        <v>22</v>
      </c>
      <c r="B45" s="25">
        <f t="shared" si="1"/>
        <v>40242</v>
      </c>
      <c r="C45" s="26">
        <f t="shared" si="7"/>
        <v>87656.0973852912</v>
      </c>
      <c r="D45" s="26">
        <f t="shared" si="2"/>
        <v>437.49999999999994</v>
      </c>
      <c r="E45" s="27">
        <f t="shared" si="3"/>
        <v>562.5</v>
      </c>
      <c r="F45" s="27"/>
      <c r="G45" s="26">
        <f t="shared" si="4"/>
        <v>1000</v>
      </c>
      <c r="H45" s="26">
        <f t="shared" si="5"/>
        <v>616.5045739393511</v>
      </c>
      <c r="I45" s="26">
        <f t="shared" si="8"/>
        <v>383.495426060649</v>
      </c>
      <c r="J45" s="26">
        <f t="shared" si="6"/>
        <v>87039.59281135185</v>
      </c>
      <c r="K45" s="26"/>
    </row>
    <row r="46" spans="1:11" ht="12.75">
      <c r="A46" s="24">
        <f t="shared" si="0"/>
        <v>23</v>
      </c>
      <c r="B46" s="25">
        <f t="shared" si="1"/>
        <v>40273</v>
      </c>
      <c r="C46" s="26">
        <f t="shared" si="7"/>
        <v>87039.59281135185</v>
      </c>
      <c r="D46" s="26">
        <f t="shared" si="2"/>
        <v>437.49999999999994</v>
      </c>
      <c r="E46" s="27">
        <f t="shared" si="3"/>
        <v>562.5</v>
      </c>
      <c r="F46" s="27"/>
      <c r="G46" s="26">
        <f t="shared" si="4"/>
        <v>1000</v>
      </c>
      <c r="H46" s="26">
        <f t="shared" si="5"/>
        <v>619.2017814503356</v>
      </c>
      <c r="I46" s="26">
        <f t="shared" si="8"/>
        <v>380.79821854966434</v>
      </c>
      <c r="J46" s="26">
        <f t="shared" si="6"/>
        <v>86420.39102990151</v>
      </c>
      <c r="K46" s="26"/>
    </row>
    <row r="47" spans="1:11" ht="12.75">
      <c r="A47" s="24">
        <f t="shared" si="0"/>
        <v>24</v>
      </c>
      <c r="B47" s="25">
        <f t="shared" si="1"/>
        <v>40303</v>
      </c>
      <c r="C47" s="26">
        <f t="shared" si="7"/>
        <v>86420.39102990151</v>
      </c>
      <c r="D47" s="26">
        <f t="shared" si="2"/>
        <v>437.49999999999994</v>
      </c>
      <c r="E47" s="27">
        <f t="shared" si="3"/>
        <v>562.5</v>
      </c>
      <c r="F47" s="27"/>
      <c r="G47" s="26">
        <f t="shared" si="4"/>
        <v>1000</v>
      </c>
      <c r="H47" s="26">
        <f t="shared" si="5"/>
        <v>621.9107892441809</v>
      </c>
      <c r="I47" s="26">
        <f t="shared" si="8"/>
        <v>378.08921075581907</v>
      </c>
      <c r="J47" s="26">
        <f t="shared" si="6"/>
        <v>85798.48024065733</v>
      </c>
      <c r="K47" s="26"/>
    </row>
    <row r="48" spans="1:11" ht="12.75">
      <c r="A48" s="24">
        <f t="shared" si="0"/>
        <v>25</v>
      </c>
      <c r="B48" s="25">
        <f t="shared" si="1"/>
        <v>40334</v>
      </c>
      <c r="C48" s="26">
        <f t="shared" si="7"/>
        <v>85798.48024065733</v>
      </c>
      <c r="D48" s="26">
        <f t="shared" si="2"/>
        <v>437.49999999999994</v>
      </c>
      <c r="E48" s="27">
        <f t="shared" si="3"/>
        <v>562.5</v>
      </c>
      <c r="F48" s="27"/>
      <c r="G48" s="26">
        <f t="shared" si="4"/>
        <v>1000</v>
      </c>
      <c r="H48" s="26">
        <f t="shared" si="5"/>
        <v>624.6316489471242</v>
      </c>
      <c r="I48" s="26">
        <f t="shared" si="8"/>
        <v>375.3683510528758</v>
      </c>
      <c r="J48" s="26">
        <f t="shared" si="6"/>
        <v>85173.84859171021</v>
      </c>
      <c r="K48" s="26"/>
    </row>
    <row r="49" spans="1:11" ht="12.75">
      <c r="A49" s="24">
        <f t="shared" si="0"/>
        <v>26</v>
      </c>
      <c r="B49" s="25">
        <f t="shared" si="1"/>
        <v>40364</v>
      </c>
      <c r="C49" s="26">
        <f t="shared" si="7"/>
        <v>85173.84859171021</v>
      </c>
      <c r="D49" s="26">
        <f t="shared" si="2"/>
        <v>437.49999999999994</v>
      </c>
      <c r="E49" s="27">
        <f t="shared" si="3"/>
        <v>562.5</v>
      </c>
      <c r="F49" s="27"/>
      <c r="G49" s="26">
        <f t="shared" si="4"/>
        <v>1000</v>
      </c>
      <c r="H49" s="26">
        <f t="shared" si="5"/>
        <v>627.364412411268</v>
      </c>
      <c r="I49" s="26">
        <f t="shared" si="8"/>
        <v>372.6355875887321</v>
      </c>
      <c r="J49" s="26">
        <f t="shared" si="6"/>
        <v>84546.48417929895</v>
      </c>
      <c r="K49" s="26"/>
    </row>
    <row r="50" spans="1:11" ht="12.75">
      <c r="A50" s="24">
        <f t="shared" si="0"/>
        <v>27</v>
      </c>
      <c r="B50" s="25">
        <f t="shared" si="1"/>
        <v>40395</v>
      </c>
      <c r="C50" s="26">
        <f t="shared" si="7"/>
        <v>84546.48417929895</v>
      </c>
      <c r="D50" s="26">
        <f t="shared" si="2"/>
        <v>437.49999999999994</v>
      </c>
      <c r="E50" s="27">
        <f t="shared" si="3"/>
        <v>562.5</v>
      </c>
      <c r="F50" s="27"/>
      <c r="G50" s="26">
        <f t="shared" si="4"/>
        <v>1000</v>
      </c>
      <c r="H50" s="26">
        <f t="shared" si="5"/>
        <v>630.1091317155672</v>
      </c>
      <c r="I50" s="26">
        <f t="shared" si="8"/>
        <v>369.8908682844329</v>
      </c>
      <c r="J50" s="26">
        <f t="shared" si="6"/>
        <v>83916.37504758338</v>
      </c>
      <c r="K50" s="26"/>
    </row>
    <row r="51" spans="1:11" ht="12.75">
      <c r="A51" s="24">
        <f t="shared" si="0"/>
        <v>28</v>
      </c>
      <c r="B51" s="25">
        <f t="shared" si="1"/>
        <v>40426</v>
      </c>
      <c r="C51" s="26">
        <f t="shared" si="7"/>
        <v>83916.37504758338</v>
      </c>
      <c r="D51" s="26">
        <f t="shared" si="2"/>
        <v>437.49999999999994</v>
      </c>
      <c r="E51" s="27">
        <f t="shared" si="3"/>
        <v>562.5</v>
      </c>
      <c r="F51" s="27"/>
      <c r="G51" s="26">
        <f t="shared" si="4"/>
        <v>1000</v>
      </c>
      <c r="H51" s="26">
        <f t="shared" si="5"/>
        <v>632.8658591668227</v>
      </c>
      <c r="I51" s="26">
        <f t="shared" si="8"/>
        <v>367.1341408331773</v>
      </c>
      <c r="J51" s="26">
        <f t="shared" si="6"/>
        <v>83283.50918841656</v>
      </c>
      <c r="K51" s="26"/>
    </row>
    <row r="52" spans="1:11" ht="12.75">
      <c r="A52" s="24">
        <f t="shared" si="0"/>
        <v>29</v>
      </c>
      <c r="B52" s="25">
        <f t="shared" si="1"/>
        <v>40456</v>
      </c>
      <c r="C52" s="26">
        <f t="shared" si="7"/>
        <v>83283.50918841656</v>
      </c>
      <c r="D52" s="26">
        <f t="shared" si="2"/>
        <v>437.49999999999994</v>
      </c>
      <c r="E52" s="27">
        <f t="shared" si="3"/>
        <v>562.5</v>
      </c>
      <c r="F52" s="27"/>
      <c r="G52" s="26">
        <f t="shared" si="4"/>
        <v>1000</v>
      </c>
      <c r="H52" s="26">
        <f t="shared" si="5"/>
        <v>635.6346473006777</v>
      </c>
      <c r="I52" s="26">
        <f t="shared" si="8"/>
        <v>364.3653526993224</v>
      </c>
      <c r="J52" s="26">
        <f t="shared" si="6"/>
        <v>82647.87454111589</v>
      </c>
      <c r="K52" s="26"/>
    </row>
    <row r="53" spans="1:11" ht="12.75">
      <c r="A53" s="24">
        <f t="shared" si="0"/>
        <v>30</v>
      </c>
      <c r="B53" s="25">
        <f t="shared" si="1"/>
        <v>40487</v>
      </c>
      <c r="C53" s="26">
        <f t="shared" si="7"/>
        <v>82647.87454111589</v>
      </c>
      <c r="D53" s="26">
        <f t="shared" si="2"/>
        <v>437.49999999999994</v>
      </c>
      <c r="E53" s="27">
        <f t="shared" si="3"/>
        <v>562.5</v>
      </c>
      <c r="F53" s="27"/>
      <c r="G53" s="26">
        <f t="shared" si="4"/>
        <v>1000</v>
      </c>
      <c r="H53" s="26">
        <f t="shared" si="5"/>
        <v>638.4155488826179</v>
      </c>
      <c r="I53" s="26">
        <f t="shared" si="8"/>
        <v>361.584451117382</v>
      </c>
      <c r="J53" s="26">
        <f t="shared" si="6"/>
        <v>82009.45899223327</v>
      </c>
      <c r="K53" s="26"/>
    </row>
    <row r="54" spans="1:11" ht="12.75">
      <c r="A54" s="24">
        <f t="shared" si="0"/>
        <v>31</v>
      </c>
      <c r="B54" s="25">
        <f t="shared" si="1"/>
        <v>40517</v>
      </c>
      <c r="C54" s="26">
        <f t="shared" si="7"/>
        <v>82009.45899223327</v>
      </c>
      <c r="D54" s="26">
        <f t="shared" si="2"/>
        <v>437.49999999999994</v>
      </c>
      <c r="E54" s="27">
        <f t="shared" si="3"/>
        <v>562.5</v>
      </c>
      <c r="F54" s="27"/>
      <c r="G54" s="26">
        <f t="shared" si="4"/>
        <v>1000</v>
      </c>
      <c r="H54" s="26">
        <f t="shared" si="5"/>
        <v>641.2086169089794</v>
      </c>
      <c r="I54" s="26">
        <f t="shared" si="8"/>
        <v>358.7913830910206</v>
      </c>
      <c r="J54" s="26">
        <f t="shared" si="6"/>
        <v>81368.25037532429</v>
      </c>
      <c r="K54" s="26"/>
    </row>
    <row r="55" spans="1:11" ht="12.75">
      <c r="A55" s="24">
        <f t="shared" si="0"/>
        <v>32</v>
      </c>
      <c r="B55" s="25">
        <f t="shared" si="1"/>
        <v>40548</v>
      </c>
      <c r="C55" s="26">
        <f t="shared" si="7"/>
        <v>81368.25037532429</v>
      </c>
      <c r="D55" s="26">
        <f t="shared" si="2"/>
        <v>437.49999999999994</v>
      </c>
      <c r="E55" s="27">
        <f t="shared" si="3"/>
        <v>562.5</v>
      </c>
      <c r="F55" s="27"/>
      <c r="G55" s="26">
        <f t="shared" si="4"/>
        <v>1000</v>
      </c>
      <c r="H55" s="26">
        <f t="shared" si="5"/>
        <v>644.0139046079562</v>
      </c>
      <c r="I55" s="26">
        <f t="shared" si="8"/>
        <v>355.98609539204375</v>
      </c>
      <c r="J55" s="26">
        <f t="shared" si="6"/>
        <v>80724.23647071634</v>
      </c>
      <c r="K55" s="26"/>
    </row>
    <row r="56" spans="1:11" ht="12.75">
      <c r="A56" s="24">
        <f t="shared" si="0"/>
        <v>33</v>
      </c>
      <c r="B56" s="25">
        <f t="shared" si="1"/>
        <v>40579</v>
      </c>
      <c r="C56" s="26">
        <f t="shared" si="7"/>
        <v>80724.23647071634</v>
      </c>
      <c r="D56" s="26">
        <f t="shared" si="2"/>
        <v>437.49999999999994</v>
      </c>
      <c r="E56" s="27">
        <f t="shared" si="3"/>
        <v>562.5</v>
      </c>
      <c r="F56" s="27"/>
      <c r="G56" s="26">
        <f t="shared" si="4"/>
        <v>1000</v>
      </c>
      <c r="H56" s="26">
        <f t="shared" si="5"/>
        <v>646.8314654406161</v>
      </c>
      <c r="I56" s="26">
        <f t="shared" si="8"/>
        <v>353.16853455938394</v>
      </c>
      <c r="J56" s="26">
        <f t="shared" si="6"/>
        <v>80077.40500527572</v>
      </c>
      <c r="K56" s="26"/>
    </row>
    <row r="57" spans="1:11" ht="12.75">
      <c r="A57" s="24">
        <f t="shared" si="0"/>
        <v>34</v>
      </c>
      <c r="B57" s="25">
        <f t="shared" si="1"/>
        <v>40607</v>
      </c>
      <c r="C57" s="26">
        <f t="shared" si="7"/>
        <v>80077.40500527572</v>
      </c>
      <c r="D57" s="26">
        <f t="shared" si="2"/>
        <v>437.49999999999994</v>
      </c>
      <c r="E57" s="27">
        <f t="shared" si="3"/>
        <v>562.5</v>
      </c>
      <c r="F57" s="27"/>
      <c r="G57" s="26">
        <f t="shared" si="4"/>
        <v>1000</v>
      </c>
      <c r="H57" s="26">
        <f t="shared" si="5"/>
        <v>649.6613531019186</v>
      </c>
      <c r="I57" s="26">
        <f t="shared" si="8"/>
        <v>350.3386468980813</v>
      </c>
      <c r="J57" s="26">
        <f t="shared" si="6"/>
        <v>79427.7436521738</v>
      </c>
      <c r="K57" s="26"/>
    </row>
    <row r="58" spans="1:11" ht="12.75">
      <c r="A58" s="24">
        <f t="shared" si="0"/>
        <v>35</v>
      </c>
      <c r="B58" s="25">
        <f t="shared" si="1"/>
        <v>40638</v>
      </c>
      <c r="C58" s="26">
        <f t="shared" si="7"/>
        <v>79427.7436521738</v>
      </c>
      <c r="D58" s="26">
        <f t="shared" si="2"/>
        <v>437.49999999999994</v>
      </c>
      <c r="E58" s="27">
        <f t="shared" si="3"/>
        <v>562.5</v>
      </c>
      <c r="F58" s="27"/>
      <c r="G58" s="26">
        <f t="shared" si="4"/>
        <v>1000</v>
      </c>
      <c r="H58" s="26">
        <f t="shared" si="5"/>
        <v>652.5036215217397</v>
      </c>
      <c r="I58" s="26">
        <f t="shared" si="8"/>
        <v>347.49637847826034</v>
      </c>
      <c r="J58" s="26">
        <f t="shared" si="6"/>
        <v>78775.24003065206</v>
      </c>
      <c r="K58" s="26"/>
    </row>
    <row r="59" spans="1:11" ht="12.75">
      <c r="A59" s="24">
        <f t="shared" si="0"/>
        <v>36</v>
      </c>
      <c r="B59" s="25">
        <f t="shared" si="1"/>
        <v>40668</v>
      </c>
      <c r="C59" s="26">
        <f t="shared" si="7"/>
        <v>78775.24003065206</v>
      </c>
      <c r="D59" s="26">
        <f t="shared" si="2"/>
        <v>437.49999999999994</v>
      </c>
      <c r="E59" s="27">
        <f t="shared" si="3"/>
        <v>562.5</v>
      </c>
      <c r="F59" s="27"/>
      <c r="G59" s="26">
        <f t="shared" si="4"/>
        <v>1000</v>
      </c>
      <c r="H59" s="26">
        <f t="shared" si="5"/>
        <v>655.3583248658972</v>
      </c>
      <c r="I59" s="26">
        <f t="shared" si="8"/>
        <v>344.64167513410274</v>
      </c>
      <c r="J59" s="26">
        <f t="shared" si="6"/>
        <v>78119.88170578616</v>
      </c>
      <c r="K59" s="26"/>
    </row>
    <row r="60" spans="1:11" ht="12.75">
      <c r="A60" s="24">
        <f t="shared" si="0"/>
        <v>37</v>
      </c>
      <c r="B60" s="25">
        <f t="shared" si="1"/>
        <v>40699</v>
      </c>
      <c r="C60" s="26">
        <f t="shared" si="7"/>
        <v>78119.88170578616</v>
      </c>
      <c r="D60" s="26">
        <f t="shared" si="2"/>
        <v>437.49999999999994</v>
      </c>
      <c r="E60" s="27">
        <f t="shared" si="3"/>
        <v>562.5</v>
      </c>
      <c r="F60" s="27"/>
      <c r="G60" s="26">
        <f t="shared" si="4"/>
        <v>1000</v>
      </c>
      <c r="H60" s="26">
        <f t="shared" si="5"/>
        <v>658.2255175371856</v>
      </c>
      <c r="I60" s="26">
        <f t="shared" si="8"/>
        <v>341.77448246281443</v>
      </c>
      <c r="J60" s="26">
        <f t="shared" si="6"/>
        <v>77461.65618824898</v>
      </c>
      <c r="K60" s="26"/>
    </row>
    <row r="61" spans="1:11" ht="12.75">
      <c r="A61" s="24">
        <f t="shared" si="0"/>
        <v>38</v>
      </c>
      <c r="B61" s="25">
        <f t="shared" si="1"/>
        <v>40729</v>
      </c>
      <c r="C61" s="26">
        <f t="shared" si="7"/>
        <v>77461.65618824898</v>
      </c>
      <c r="D61" s="26">
        <f t="shared" si="2"/>
        <v>437.49999999999994</v>
      </c>
      <c r="E61" s="27">
        <f t="shared" si="3"/>
        <v>562.5</v>
      </c>
      <c r="F61" s="27"/>
      <c r="G61" s="26">
        <f t="shared" si="4"/>
        <v>1000</v>
      </c>
      <c r="H61" s="26">
        <f t="shared" si="5"/>
        <v>661.1052541764107</v>
      </c>
      <c r="I61" s="26">
        <f t="shared" si="8"/>
        <v>338.8947458235893</v>
      </c>
      <c r="J61" s="26">
        <f t="shared" si="6"/>
        <v>76800.55093407257</v>
      </c>
      <c r="K61" s="26"/>
    </row>
    <row r="62" spans="1:11" ht="12.75">
      <c r="A62" s="24">
        <f t="shared" si="0"/>
        <v>39</v>
      </c>
      <c r="B62" s="25">
        <f t="shared" si="1"/>
        <v>40760</v>
      </c>
      <c r="C62" s="26">
        <f t="shared" si="7"/>
        <v>76800.55093407257</v>
      </c>
      <c r="D62" s="26">
        <f t="shared" si="2"/>
        <v>437.49999999999994</v>
      </c>
      <c r="E62" s="27">
        <f t="shared" si="3"/>
        <v>562.5</v>
      </c>
      <c r="F62" s="27"/>
      <c r="G62" s="26">
        <f t="shared" si="4"/>
        <v>1000</v>
      </c>
      <c r="H62" s="26">
        <f t="shared" si="5"/>
        <v>663.9975896634326</v>
      </c>
      <c r="I62" s="26">
        <f t="shared" si="8"/>
        <v>336.0024103365675</v>
      </c>
      <c r="J62" s="26">
        <f t="shared" si="6"/>
        <v>76136.55334440914</v>
      </c>
      <c r="K62" s="26"/>
    </row>
    <row r="63" spans="1:11" ht="12.75">
      <c r="A63" s="24">
        <f t="shared" si="0"/>
        <v>40</v>
      </c>
      <c r="B63" s="25">
        <f t="shared" si="1"/>
        <v>40791</v>
      </c>
      <c r="C63" s="26">
        <f t="shared" si="7"/>
        <v>76136.55334440914</v>
      </c>
      <c r="D63" s="26">
        <f t="shared" si="2"/>
        <v>437.49999999999994</v>
      </c>
      <c r="E63" s="27">
        <f t="shared" si="3"/>
        <v>562.5</v>
      </c>
      <c r="F63" s="27"/>
      <c r="G63" s="26">
        <f t="shared" si="4"/>
        <v>1000</v>
      </c>
      <c r="H63" s="26">
        <f t="shared" si="5"/>
        <v>666.90257911821</v>
      </c>
      <c r="I63" s="26">
        <f t="shared" si="8"/>
        <v>333.09742088179</v>
      </c>
      <c r="J63" s="26">
        <f t="shared" si="6"/>
        <v>75469.65076529093</v>
      </c>
      <c r="K63" s="26"/>
    </row>
    <row r="64" spans="1:11" ht="12.75">
      <c r="A64" s="24">
        <f t="shared" si="0"/>
        <v>41</v>
      </c>
      <c r="B64" s="25">
        <f t="shared" si="1"/>
        <v>40821</v>
      </c>
      <c r="C64" s="26">
        <f t="shared" si="7"/>
        <v>75469.65076529093</v>
      </c>
      <c r="D64" s="26">
        <f t="shared" si="2"/>
        <v>437.49999999999994</v>
      </c>
      <c r="E64" s="27">
        <f t="shared" si="3"/>
        <v>562.5</v>
      </c>
      <c r="F64" s="27"/>
      <c r="G64" s="26">
        <f t="shared" si="4"/>
        <v>1000</v>
      </c>
      <c r="H64" s="26">
        <f t="shared" si="5"/>
        <v>669.8202779018523</v>
      </c>
      <c r="I64" s="26">
        <f t="shared" si="8"/>
        <v>330.1797220981478</v>
      </c>
      <c r="J64" s="26">
        <f t="shared" si="6"/>
        <v>74799.83048738909</v>
      </c>
      <c r="K64" s="26"/>
    </row>
    <row r="65" spans="1:11" ht="12.75">
      <c r="A65" s="24">
        <f t="shared" si="0"/>
        <v>42</v>
      </c>
      <c r="B65" s="25">
        <f t="shared" si="1"/>
        <v>40852</v>
      </c>
      <c r="C65" s="26">
        <f t="shared" si="7"/>
        <v>74799.83048738909</v>
      </c>
      <c r="D65" s="26">
        <f t="shared" si="2"/>
        <v>437.49999999999994</v>
      </c>
      <c r="E65" s="27">
        <f t="shared" si="3"/>
        <v>562.5</v>
      </c>
      <c r="F65" s="27"/>
      <c r="G65" s="26">
        <f t="shared" si="4"/>
        <v>1000</v>
      </c>
      <c r="H65" s="26">
        <f t="shared" si="5"/>
        <v>672.7507416176727</v>
      </c>
      <c r="I65" s="26">
        <f t="shared" si="8"/>
        <v>327.24925838232724</v>
      </c>
      <c r="J65" s="26">
        <f t="shared" si="6"/>
        <v>74127.07974577142</v>
      </c>
      <c r="K65" s="26"/>
    </row>
    <row r="66" spans="1:11" ht="12.75">
      <c r="A66" s="24">
        <f t="shared" si="0"/>
        <v>43</v>
      </c>
      <c r="B66" s="25">
        <f t="shared" si="1"/>
        <v>40882</v>
      </c>
      <c r="C66" s="26">
        <f t="shared" si="7"/>
        <v>74127.07974577142</v>
      </c>
      <c r="D66" s="26">
        <f t="shared" si="2"/>
        <v>437.49999999999994</v>
      </c>
      <c r="E66" s="27">
        <f t="shared" si="3"/>
        <v>562.5</v>
      </c>
      <c r="F66" s="27"/>
      <c r="G66" s="26">
        <f t="shared" si="4"/>
        <v>1000</v>
      </c>
      <c r="H66" s="26">
        <f t="shared" si="5"/>
        <v>675.69402611225</v>
      </c>
      <c r="I66" s="26">
        <f t="shared" si="8"/>
        <v>324.30597388775</v>
      </c>
      <c r="J66" s="26">
        <f t="shared" si="6"/>
        <v>73451.38571965917</v>
      </c>
      <c r="K66" s="26"/>
    </row>
    <row r="67" spans="1:11" ht="12.75">
      <c r="A67" s="24">
        <f t="shared" si="0"/>
        <v>44</v>
      </c>
      <c r="B67" s="25">
        <f t="shared" si="1"/>
        <v>40913</v>
      </c>
      <c r="C67" s="26">
        <f t="shared" si="7"/>
        <v>73451.38571965917</v>
      </c>
      <c r="D67" s="26">
        <f t="shared" si="2"/>
        <v>437.49999999999994</v>
      </c>
      <c r="E67" s="27">
        <f t="shared" si="3"/>
        <v>562.5</v>
      </c>
      <c r="F67" s="27"/>
      <c r="G67" s="26">
        <f t="shared" si="4"/>
        <v>1000</v>
      </c>
      <c r="H67" s="26">
        <f t="shared" si="5"/>
        <v>678.650187476491</v>
      </c>
      <c r="I67" s="26">
        <f t="shared" si="8"/>
        <v>321.3498125235089</v>
      </c>
      <c r="J67" s="26">
        <f t="shared" si="6"/>
        <v>72772.73553218268</v>
      </c>
      <c r="K67" s="26"/>
    </row>
    <row r="68" spans="1:11" ht="12.75">
      <c r="A68" s="24">
        <f t="shared" si="0"/>
        <v>45</v>
      </c>
      <c r="B68" s="25">
        <f t="shared" si="1"/>
        <v>40944</v>
      </c>
      <c r="C68" s="26">
        <f t="shared" si="7"/>
        <v>72772.73553218268</v>
      </c>
      <c r="D68" s="26">
        <f t="shared" si="2"/>
        <v>437.49999999999994</v>
      </c>
      <c r="E68" s="27">
        <f t="shared" si="3"/>
        <v>562.5</v>
      </c>
      <c r="F68" s="27"/>
      <c r="G68" s="26">
        <f t="shared" si="4"/>
        <v>1000</v>
      </c>
      <c r="H68" s="26">
        <f t="shared" si="5"/>
        <v>681.6192820467008</v>
      </c>
      <c r="I68" s="26">
        <f t="shared" si="8"/>
        <v>318.3807179532992</v>
      </c>
      <c r="J68" s="26">
        <f t="shared" si="6"/>
        <v>72091.11625013598</v>
      </c>
      <c r="K68" s="26"/>
    </row>
    <row r="69" spans="1:11" ht="12.75">
      <c r="A69" s="24">
        <f t="shared" si="0"/>
        <v>46</v>
      </c>
      <c r="B69" s="25">
        <f t="shared" si="1"/>
        <v>40973</v>
      </c>
      <c r="C69" s="26">
        <f t="shared" si="7"/>
        <v>72091.11625013598</v>
      </c>
      <c r="D69" s="26">
        <f t="shared" si="2"/>
        <v>437.49999999999994</v>
      </c>
      <c r="E69" s="27">
        <f t="shared" si="3"/>
        <v>562.5</v>
      </c>
      <c r="F69" s="27"/>
      <c r="G69" s="26">
        <f t="shared" si="4"/>
        <v>1000</v>
      </c>
      <c r="H69" s="26">
        <f t="shared" si="5"/>
        <v>684.6013664056551</v>
      </c>
      <c r="I69" s="26">
        <f t="shared" si="8"/>
        <v>315.3986335943449</v>
      </c>
      <c r="J69" s="26">
        <f t="shared" si="6"/>
        <v>71406.51488373033</v>
      </c>
      <c r="K69" s="26"/>
    </row>
    <row r="70" spans="1:11" ht="12.75">
      <c r="A70" s="24">
        <f t="shared" si="0"/>
        <v>47</v>
      </c>
      <c r="B70" s="25">
        <f t="shared" si="1"/>
        <v>41004</v>
      </c>
      <c r="C70" s="26">
        <f t="shared" si="7"/>
        <v>71406.51488373033</v>
      </c>
      <c r="D70" s="26">
        <f t="shared" si="2"/>
        <v>437.49999999999994</v>
      </c>
      <c r="E70" s="27">
        <f t="shared" si="3"/>
        <v>562.5</v>
      </c>
      <c r="F70" s="27"/>
      <c r="G70" s="26">
        <f t="shared" si="4"/>
        <v>1000</v>
      </c>
      <c r="H70" s="26">
        <f t="shared" si="5"/>
        <v>687.5964973836799</v>
      </c>
      <c r="I70" s="26">
        <f t="shared" si="8"/>
        <v>312.40350261632017</v>
      </c>
      <c r="J70" s="26">
        <f t="shared" si="6"/>
        <v>70718.91838634665</v>
      </c>
      <c r="K70" s="26"/>
    </row>
    <row r="71" spans="1:11" ht="12.75">
      <c r="A71" s="24">
        <f t="shared" si="0"/>
        <v>48</v>
      </c>
      <c r="B71" s="25">
        <f t="shared" si="1"/>
        <v>41034</v>
      </c>
      <c r="C71" s="26">
        <f t="shared" si="7"/>
        <v>70718.91838634665</v>
      </c>
      <c r="D71" s="26">
        <f t="shared" si="2"/>
        <v>437.49999999999994</v>
      </c>
      <c r="E71" s="27">
        <f t="shared" si="3"/>
        <v>562.5</v>
      </c>
      <c r="F71" s="27"/>
      <c r="G71" s="26">
        <f t="shared" si="4"/>
        <v>1000</v>
      </c>
      <c r="H71" s="26">
        <f t="shared" si="5"/>
        <v>690.6047320597334</v>
      </c>
      <c r="I71" s="26">
        <f t="shared" si="8"/>
        <v>309.3952679402666</v>
      </c>
      <c r="J71" s="26">
        <f t="shared" si="6"/>
        <v>70028.31365428692</v>
      </c>
      <c r="K71" s="26"/>
    </row>
    <row r="72" spans="1:11" ht="12.75">
      <c r="A72" s="24">
        <f t="shared" si="0"/>
        <v>49</v>
      </c>
      <c r="B72" s="25">
        <f t="shared" si="1"/>
        <v>41065</v>
      </c>
      <c r="C72" s="26">
        <f t="shared" si="7"/>
        <v>70028.31365428692</v>
      </c>
      <c r="D72" s="26">
        <f t="shared" si="2"/>
        <v>437.49999999999994</v>
      </c>
      <c r="E72" s="27">
        <f t="shared" si="3"/>
        <v>562.5</v>
      </c>
      <c r="F72" s="27"/>
      <c r="G72" s="26">
        <f t="shared" si="4"/>
        <v>1000</v>
      </c>
      <c r="H72" s="26">
        <f t="shared" si="5"/>
        <v>693.6261277624947</v>
      </c>
      <c r="I72" s="26">
        <f t="shared" si="8"/>
        <v>306.3738722375053</v>
      </c>
      <c r="J72" s="26">
        <f t="shared" si="6"/>
        <v>69334.68752652442</v>
      </c>
      <c r="K72" s="26"/>
    </row>
    <row r="73" spans="1:11" ht="12.75">
      <c r="A73" s="24">
        <f t="shared" si="0"/>
        <v>50</v>
      </c>
      <c r="B73" s="25">
        <f t="shared" si="1"/>
        <v>41095</v>
      </c>
      <c r="C73" s="26">
        <f t="shared" si="7"/>
        <v>69334.68752652442</v>
      </c>
      <c r="D73" s="26">
        <f t="shared" si="2"/>
        <v>437.49999999999994</v>
      </c>
      <c r="E73" s="27">
        <f t="shared" si="3"/>
        <v>562.5</v>
      </c>
      <c r="F73" s="27"/>
      <c r="G73" s="26">
        <f t="shared" si="4"/>
        <v>1000</v>
      </c>
      <c r="H73" s="26">
        <f t="shared" si="5"/>
        <v>696.6607420714556</v>
      </c>
      <c r="I73" s="26">
        <f t="shared" si="8"/>
        <v>303.3392579285443</v>
      </c>
      <c r="J73" s="26">
        <f t="shared" si="6"/>
        <v>68638.02678445296</v>
      </c>
      <c r="K73" s="26"/>
    </row>
    <row r="74" spans="1:11" ht="12.75">
      <c r="A74" s="24">
        <f t="shared" si="0"/>
        <v>51</v>
      </c>
      <c r="B74" s="25">
        <f t="shared" si="1"/>
        <v>41126</v>
      </c>
      <c r="C74" s="26">
        <f t="shared" si="7"/>
        <v>68638.02678445296</v>
      </c>
      <c r="D74" s="26">
        <f t="shared" si="2"/>
        <v>437.49999999999994</v>
      </c>
      <c r="E74" s="27">
        <f t="shared" si="3"/>
        <v>562.5</v>
      </c>
      <c r="F74" s="27"/>
      <c r="G74" s="26">
        <f t="shared" si="4"/>
        <v>1000</v>
      </c>
      <c r="H74" s="26">
        <f t="shared" si="5"/>
        <v>699.7086328180183</v>
      </c>
      <c r="I74" s="26">
        <f t="shared" si="8"/>
        <v>300.2913671819817</v>
      </c>
      <c r="J74" s="26">
        <f t="shared" si="6"/>
        <v>67938.31815163494</v>
      </c>
      <c r="K74" s="28"/>
    </row>
    <row r="75" spans="1:11" ht="12.75">
      <c r="A75" s="24">
        <f t="shared" si="0"/>
        <v>52</v>
      </c>
      <c r="B75" s="25">
        <f t="shared" si="1"/>
        <v>41157</v>
      </c>
      <c r="C75" s="26">
        <f t="shared" si="7"/>
        <v>67938.31815163494</v>
      </c>
      <c r="D75" s="26">
        <f t="shared" si="2"/>
        <v>437.49999999999994</v>
      </c>
      <c r="E75" s="27">
        <f t="shared" si="3"/>
        <v>562.5</v>
      </c>
      <c r="F75" s="27"/>
      <c r="G75" s="26">
        <f t="shared" si="4"/>
        <v>1000</v>
      </c>
      <c r="H75" s="26">
        <f t="shared" si="5"/>
        <v>702.7698580865972</v>
      </c>
      <c r="I75" s="26">
        <f t="shared" si="8"/>
        <v>297.23014191340286</v>
      </c>
      <c r="J75" s="26">
        <f t="shared" si="6"/>
        <v>67235.54829354835</v>
      </c>
      <c r="K75" s="28"/>
    </row>
    <row r="76" spans="1:11" ht="12.75">
      <c r="A76" s="24">
        <f t="shared" si="0"/>
        <v>53</v>
      </c>
      <c r="B76" s="25">
        <f t="shared" si="1"/>
        <v>41187</v>
      </c>
      <c r="C76" s="26">
        <f t="shared" si="7"/>
        <v>67235.54829354835</v>
      </c>
      <c r="D76" s="26">
        <f t="shared" si="2"/>
        <v>437.49999999999994</v>
      </c>
      <c r="E76" s="27">
        <f t="shared" si="3"/>
        <v>562.5</v>
      </c>
      <c r="F76" s="27"/>
      <c r="G76" s="26">
        <f t="shared" si="4"/>
        <v>1000</v>
      </c>
      <c r="H76" s="26">
        <f t="shared" si="5"/>
        <v>705.844476215726</v>
      </c>
      <c r="I76" s="26">
        <f t="shared" si="8"/>
        <v>294.155523784274</v>
      </c>
      <c r="J76" s="26">
        <f t="shared" si="6"/>
        <v>66529.70381733261</v>
      </c>
      <c r="K76" s="28"/>
    </row>
    <row r="77" spans="1:11" ht="12.75">
      <c r="A77" s="24">
        <f t="shared" si="0"/>
        <v>54</v>
      </c>
      <c r="B77" s="25">
        <f t="shared" si="1"/>
        <v>41218</v>
      </c>
      <c r="C77" s="26">
        <f t="shared" si="7"/>
        <v>66529.70381733261</v>
      </c>
      <c r="D77" s="26">
        <f t="shared" si="2"/>
        <v>437.49999999999994</v>
      </c>
      <c r="E77" s="27">
        <f>IF(Pay_Num&lt;&gt;"",Scheduled_Extra_Payments,"")</f>
        <v>562.5</v>
      </c>
      <c r="F77" s="27"/>
      <c r="G77" s="26">
        <f t="shared" si="4"/>
        <v>1000</v>
      </c>
      <c r="H77" s="26">
        <f t="shared" si="5"/>
        <v>708.9325457991698</v>
      </c>
      <c r="I77" s="26">
        <f t="shared" si="8"/>
        <v>291.0674542008302</v>
      </c>
      <c r="J77" s="26">
        <f t="shared" si="6"/>
        <v>65820.77127153345</v>
      </c>
      <c r="K77" s="28"/>
    </row>
    <row r="78" spans="1:11" ht="12.75">
      <c r="A78" s="24">
        <f t="shared" si="0"/>
        <v>55</v>
      </c>
      <c r="B78" s="25">
        <f t="shared" si="1"/>
        <v>41248</v>
      </c>
      <c r="C78" s="26">
        <f t="shared" si="7"/>
        <v>65820.77127153345</v>
      </c>
      <c r="D78" s="26">
        <f t="shared" si="2"/>
        <v>437.49999999999994</v>
      </c>
      <c r="E78" s="27">
        <f t="shared" si="3"/>
        <v>562.5</v>
      </c>
      <c r="F78" s="27"/>
      <c r="G78" s="26">
        <f t="shared" si="4"/>
        <v>1000</v>
      </c>
      <c r="H78" s="26">
        <f t="shared" si="5"/>
        <v>712.0341256870412</v>
      </c>
      <c r="I78" s="26">
        <f t="shared" si="8"/>
        <v>287.9658743129588</v>
      </c>
      <c r="J78" s="26">
        <f t="shared" si="6"/>
        <v>65108.73714584641</v>
      </c>
      <c r="K78" s="28"/>
    </row>
    <row r="79" spans="1:11" ht="12.75">
      <c r="A79" s="24">
        <f t="shared" si="0"/>
        <v>56</v>
      </c>
      <c r="B79" s="25">
        <f t="shared" si="1"/>
        <v>41279</v>
      </c>
      <c r="C79" s="26">
        <f t="shared" si="7"/>
        <v>65108.73714584641</v>
      </c>
      <c r="D79" s="26">
        <f t="shared" si="2"/>
        <v>437.49999999999994</v>
      </c>
      <c r="E79" s="27">
        <f t="shared" si="3"/>
        <v>562.5</v>
      </c>
      <c r="F79" s="27"/>
      <c r="G79" s="26">
        <f t="shared" si="4"/>
        <v>1000</v>
      </c>
      <c r="H79" s="26">
        <f t="shared" si="5"/>
        <v>715.1492749869219</v>
      </c>
      <c r="I79" s="26">
        <f t="shared" si="8"/>
        <v>284.85072501307803</v>
      </c>
      <c r="J79" s="26">
        <f t="shared" si="6"/>
        <v>64393.58787085949</v>
      </c>
      <c r="K79" s="28"/>
    </row>
    <row r="80" spans="1:11" ht="12.75">
      <c r="A80" s="24">
        <f t="shared" si="0"/>
        <v>57</v>
      </c>
      <c r="B80" s="25">
        <f t="shared" si="1"/>
        <v>41310</v>
      </c>
      <c r="C80" s="26">
        <f t="shared" si="7"/>
        <v>64393.58787085949</v>
      </c>
      <c r="D80" s="26">
        <f t="shared" si="2"/>
        <v>437.49999999999994</v>
      </c>
      <c r="E80" s="27">
        <f t="shared" si="3"/>
        <v>562.5</v>
      </c>
      <c r="F80" s="27"/>
      <c r="G80" s="26">
        <f t="shared" si="4"/>
        <v>1000</v>
      </c>
      <c r="H80" s="26">
        <f t="shared" si="5"/>
        <v>718.2780530649898</v>
      </c>
      <c r="I80" s="26">
        <f t="shared" si="8"/>
        <v>281.7219469350103</v>
      </c>
      <c r="J80" s="26">
        <f t="shared" si="6"/>
        <v>63675.3098177945</v>
      </c>
      <c r="K80" s="28"/>
    </row>
    <row r="81" spans="1:11" ht="12.75">
      <c r="A81" s="24">
        <f t="shared" si="0"/>
        <v>58</v>
      </c>
      <c r="B81" s="25">
        <f t="shared" si="1"/>
        <v>41338</v>
      </c>
      <c r="C81" s="26">
        <f t="shared" si="7"/>
        <v>63675.3098177945</v>
      </c>
      <c r="D81" s="26">
        <f t="shared" si="2"/>
        <v>437.49999999999994</v>
      </c>
      <c r="E81" s="27">
        <f t="shared" si="3"/>
        <v>562.5</v>
      </c>
      <c r="F81" s="27"/>
      <c r="G81" s="26">
        <f t="shared" si="4"/>
        <v>1000</v>
      </c>
      <c r="H81" s="26">
        <f t="shared" si="5"/>
        <v>721.4205195471491</v>
      </c>
      <c r="I81" s="26">
        <f t="shared" si="8"/>
        <v>278.57948045285093</v>
      </c>
      <c r="J81" s="26">
        <f t="shared" si="6"/>
        <v>62953.88929824735</v>
      </c>
      <c r="K81" s="28"/>
    </row>
    <row r="82" spans="1:11" ht="12.75">
      <c r="A82" s="24">
        <f t="shared" si="0"/>
        <v>59</v>
      </c>
      <c r="B82" s="25">
        <f t="shared" si="1"/>
        <v>41369</v>
      </c>
      <c r="C82" s="26">
        <f t="shared" si="7"/>
        <v>62953.88929824735</v>
      </c>
      <c r="D82" s="26">
        <f t="shared" si="2"/>
        <v>437.49999999999994</v>
      </c>
      <c r="E82" s="27">
        <f t="shared" si="3"/>
        <v>562.5</v>
      </c>
      <c r="F82" s="27"/>
      <c r="G82" s="26">
        <f t="shared" si="4"/>
        <v>1000</v>
      </c>
      <c r="H82" s="26">
        <f t="shared" si="5"/>
        <v>724.5767343201678</v>
      </c>
      <c r="I82" s="26">
        <f t="shared" si="8"/>
        <v>275.4232656798321</v>
      </c>
      <c r="J82" s="26">
        <f t="shared" si="6"/>
        <v>62229.31256392718</v>
      </c>
      <c r="K82" s="28"/>
    </row>
    <row r="83" spans="1:11" ht="12.75">
      <c r="A83" s="24">
        <f t="shared" si="0"/>
        <v>60</v>
      </c>
      <c r="B83" s="25">
        <f t="shared" si="1"/>
        <v>41399</v>
      </c>
      <c r="C83" s="26">
        <f t="shared" si="7"/>
        <v>62229.31256392718</v>
      </c>
      <c r="D83" s="26">
        <f t="shared" si="2"/>
        <v>437.49999999999994</v>
      </c>
      <c r="E83" s="27">
        <f t="shared" si="3"/>
        <v>562.5</v>
      </c>
      <c r="F83" s="27"/>
      <c r="G83" s="26">
        <f t="shared" si="4"/>
        <v>1000</v>
      </c>
      <c r="H83" s="26">
        <f t="shared" si="5"/>
        <v>727.7467575328186</v>
      </c>
      <c r="I83" s="26">
        <f t="shared" si="8"/>
        <v>272.2532424671814</v>
      </c>
      <c r="J83" s="26">
        <f t="shared" si="6"/>
        <v>61501.56580639436</v>
      </c>
      <c r="K83" s="28"/>
    </row>
    <row r="84" spans="1:11" ht="12.75">
      <c r="A84" s="24">
        <f t="shared" si="0"/>
        <v>61</v>
      </c>
      <c r="B84" s="25">
        <f t="shared" si="1"/>
        <v>41430</v>
      </c>
      <c r="C84" s="26">
        <f t="shared" si="7"/>
        <v>61501.56580639436</v>
      </c>
      <c r="D84" s="26">
        <f t="shared" si="2"/>
        <v>437.49999999999994</v>
      </c>
      <c r="E84" s="27">
        <f t="shared" si="3"/>
        <v>562.5</v>
      </c>
      <c r="F84" s="27"/>
      <c r="G84" s="26">
        <f t="shared" si="4"/>
        <v>1000</v>
      </c>
      <c r="H84" s="26">
        <f t="shared" si="5"/>
        <v>730.9306495970247</v>
      </c>
      <c r="I84" s="26">
        <f t="shared" si="8"/>
        <v>269.0693504029753</v>
      </c>
      <c r="J84" s="26">
        <f t="shared" si="6"/>
        <v>60770.63515679734</v>
      </c>
      <c r="K84" s="28"/>
    </row>
    <row r="85" spans="1:11" ht="12.75">
      <c r="A85" s="24">
        <f t="shared" si="0"/>
        <v>62</v>
      </c>
      <c r="B85" s="25">
        <f t="shared" si="1"/>
        <v>41460</v>
      </c>
      <c r="C85" s="26">
        <f t="shared" si="7"/>
        <v>60770.63515679734</v>
      </c>
      <c r="D85" s="26">
        <f t="shared" si="2"/>
        <v>437.49999999999994</v>
      </c>
      <c r="E85" s="27">
        <f t="shared" si="3"/>
        <v>562.5</v>
      </c>
      <c r="F85" s="27"/>
      <c r="G85" s="26">
        <f t="shared" si="4"/>
        <v>1000</v>
      </c>
      <c r="H85" s="26">
        <f t="shared" si="5"/>
        <v>734.1284711890116</v>
      </c>
      <c r="I85" s="26">
        <f t="shared" si="8"/>
        <v>265.87152881098837</v>
      </c>
      <c r="J85" s="26">
        <f t="shared" si="6"/>
        <v>60036.50668560833</v>
      </c>
      <c r="K85" s="28"/>
    </row>
    <row r="86" spans="1:11" ht="12.75">
      <c r="A86" s="24">
        <f t="shared" si="0"/>
        <v>63</v>
      </c>
      <c r="B86" s="25">
        <f t="shared" si="1"/>
        <v>41491</v>
      </c>
      <c r="C86" s="26">
        <f t="shared" si="7"/>
        <v>60036.50668560833</v>
      </c>
      <c r="D86" s="26">
        <f t="shared" si="2"/>
        <v>437.49999999999994</v>
      </c>
      <c r="E86" s="27">
        <f t="shared" si="3"/>
        <v>562.5</v>
      </c>
      <c r="F86" s="27"/>
      <c r="G86" s="26">
        <f t="shared" si="4"/>
        <v>1000</v>
      </c>
      <c r="H86" s="26">
        <f t="shared" si="5"/>
        <v>737.3402832504636</v>
      </c>
      <c r="I86" s="26">
        <f t="shared" si="8"/>
        <v>262.6597167495364</v>
      </c>
      <c r="J86" s="26">
        <f t="shared" si="6"/>
        <v>59299.16640235786</v>
      </c>
      <c r="K86" s="28"/>
    </row>
    <row r="87" spans="1:11" ht="12.75">
      <c r="A87" s="24">
        <f t="shared" si="0"/>
        <v>64</v>
      </c>
      <c r="B87" s="25">
        <f t="shared" si="1"/>
        <v>41522</v>
      </c>
      <c r="C87" s="26">
        <f t="shared" si="7"/>
        <v>59299.16640235786</v>
      </c>
      <c r="D87" s="26">
        <f t="shared" si="2"/>
        <v>437.49999999999994</v>
      </c>
      <c r="E87" s="27">
        <f t="shared" si="3"/>
        <v>562.5</v>
      </c>
      <c r="F87" s="27"/>
      <c r="G87" s="26">
        <f t="shared" si="4"/>
        <v>1000</v>
      </c>
      <c r="H87" s="26">
        <f t="shared" si="5"/>
        <v>740.5661469896843</v>
      </c>
      <c r="I87" s="26">
        <f t="shared" si="8"/>
        <v>259.43385301031566</v>
      </c>
      <c r="J87" s="26">
        <f t="shared" si="6"/>
        <v>58558.600255368176</v>
      </c>
      <c r="K87" s="28"/>
    </row>
    <row r="88" spans="1:11" ht="12.75">
      <c r="A88" s="24">
        <f t="shared" si="0"/>
        <v>65</v>
      </c>
      <c r="B88" s="25">
        <f t="shared" si="1"/>
        <v>41552</v>
      </c>
      <c r="C88" s="26">
        <f t="shared" si="7"/>
        <v>58558.600255368176</v>
      </c>
      <c r="D88" s="26">
        <f aca="true" t="shared" si="9" ref="D88:D151">IF(Pay_Num&lt;&gt;"",Scheduled_IO_Payment,"")</f>
        <v>437.49999999999994</v>
      </c>
      <c r="E88" s="27">
        <f t="shared" si="3"/>
        <v>562.5</v>
      </c>
      <c r="F88" s="27"/>
      <c r="G88" s="26">
        <f t="shared" si="4"/>
        <v>1000</v>
      </c>
      <c r="H88" s="26">
        <f t="shared" si="5"/>
        <v>743.8061238827643</v>
      </c>
      <c r="I88" s="26">
        <f t="shared" si="8"/>
        <v>256.1938761172358</v>
      </c>
      <c r="J88" s="26">
        <f t="shared" si="6"/>
        <v>57814.79413148541</v>
      </c>
      <c r="K88" s="28"/>
    </row>
    <row r="89" spans="1:11" ht="12.75">
      <c r="A89" s="24">
        <f aca="true" t="shared" si="10" ref="A89:A152">IF(Values_Entered,A88+1,"")</f>
        <v>66</v>
      </c>
      <c r="B89" s="25">
        <f aca="true" t="shared" si="11" ref="B89:B152">IF(Pay_Num&lt;&gt;"",DATE(YEAR(B88),MONTH(B88)+1,DAY(B88)),"")</f>
        <v>41583</v>
      </c>
      <c r="C89" s="26">
        <f t="shared" si="7"/>
        <v>57814.79413148541</v>
      </c>
      <c r="D89" s="26">
        <f t="shared" si="9"/>
        <v>437.49999999999994</v>
      </c>
      <c r="E89" s="27">
        <f aca="true" t="shared" si="12" ref="E89:E152">IF(Pay_Num&lt;&gt;"",Scheduled_Extra_Payments,"")</f>
        <v>562.5</v>
      </c>
      <c r="F89" s="27"/>
      <c r="G89" s="26">
        <f aca="true" t="shared" si="13" ref="G89:G152">IF(Pay_Num&lt;&gt;"",Sched_Pay+Extra_Pay+Lump_Sum,"")</f>
        <v>1000</v>
      </c>
      <c r="H89" s="26">
        <f aca="true" t="shared" si="14" ref="H89:H152">IF(Pay_Num&lt;&gt;"",Total_Pay-Int,"")</f>
        <v>747.0602756747513</v>
      </c>
      <c r="I89" s="26">
        <f t="shared" si="8"/>
        <v>252.93972432524868</v>
      </c>
      <c r="J89" s="26">
        <f aca="true" t="shared" si="15" ref="J89:J152">IF(Pay_Num&lt;&gt;"",Beg_Bal-Princ,"")</f>
        <v>57067.73385581066</v>
      </c>
      <c r="K89" s="28"/>
    </row>
    <row r="90" spans="1:11" ht="12.75">
      <c r="A90" s="24">
        <f t="shared" si="10"/>
        <v>67</v>
      </c>
      <c r="B90" s="25">
        <f t="shared" si="11"/>
        <v>41613</v>
      </c>
      <c r="C90" s="26">
        <f aca="true" t="shared" si="16" ref="C90:C153">IF(Pay_Num&lt;&gt;"",J89,"")</f>
        <v>57067.73385581066</v>
      </c>
      <c r="D90" s="26">
        <f t="shared" si="9"/>
        <v>437.49999999999994</v>
      </c>
      <c r="E90" s="27">
        <f t="shared" si="12"/>
        <v>562.5</v>
      </c>
      <c r="F90" s="27"/>
      <c r="G90" s="26">
        <f t="shared" si="13"/>
        <v>1000</v>
      </c>
      <c r="H90" s="26">
        <f t="shared" si="14"/>
        <v>750.3286643808284</v>
      </c>
      <c r="I90" s="26">
        <f aca="true" t="shared" si="17" ref="I90:I153">IF(Pay_Num&lt;&gt;"",Beg_Bal*Interest_Rate/12,"")</f>
        <v>249.6713356191716</v>
      </c>
      <c r="J90" s="26">
        <f t="shared" si="15"/>
        <v>56317.405191429825</v>
      </c>
      <c r="K90" s="28"/>
    </row>
    <row r="91" spans="1:11" ht="12.75">
      <c r="A91" s="24">
        <f t="shared" si="10"/>
        <v>68</v>
      </c>
      <c r="B91" s="25">
        <f t="shared" si="11"/>
        <v>41644</v>
      </c>
      <c r="C91" s="26">
        <f t="shared" si="16"/>
        <v>56317.405191429825</v>
      </c>
      <c r="D91" s="26">
        <f t="shared" si="9"/>
        <v>437.49999999999994</v>
      </c>
      <c r="E91" s="27">
        <f t="shared" si="12"/>
        <v>562.5</v>
      </c>
      <c r="F91" s="27"/>
      <c r="G91" s="26">
        <f t="shared" si="13"/>
        <v>1000</v>
      </c>
      <c r="H91" s="26">
        <f t="shared" si="14"/>
        <v>753.6113522874945</v>
      </c>
      <c r="I91" s="26">
        <f t="shared" si="17"/>
        <v>246.3886477125055</v>
      </c>
      <c r="J91" s="26">
        <f t="shared" si="15"/>
        <v>55563.79383914233</v>
      </c>
      <c r="K91" s="28"/>
    </row>
    <row r="92" spans="1:11" ht="12.75">
      <c r="A92" s="24">
        <f t="shared" si="10"/>
        <v>69</v>
      </c>
      <c r="B92" s="25">
        <f t="shared" si="11"/>
        <v>41675</v>
      </c>
      <c r="C92" s="26">
        <f t="shared" si="16"/>
        <v>55563.79383914233</v>
      </c>
      <c r="D92" s="26">
        <f t="shared" si="9"/>
        <v>437.49999999999994</v>
      </c>
      <c r="E92" s="27">
        <f t="shared" si="12"/>
        <v>562.5</v>
      </c>
      <c r="F92" s="27"/>
      <c r="G92" s="26">
        <f t="shared" si="13"/>
        <v>1000</v>
      </c>
      <c r="H92" s="26">
        <f t="shared" si="14"/>
        <v>756.9084019537523</v>
      </c>
      <c r="I92" s="26">
        <f t="shared" si="17"/>
        <v>243.09159804624767</v>
      </c>
      <c r="J92" s="26">
        <f t="shared" si="15"/>
        <v>54806.885437188575</v>
      </c>
      <c r="K92" s="28"/>
    </row>
    <row r="93" spans="1:11" ht="12.75">
      <c r="A93" s="24">
        <f t="shared" si="10"/>
        <v>70</v>
      </c>
      <c r="B93" s="25">
        <f t="shared" si="11"/>
        <v>41703</v>
      </c>
      <c r="C93" s="26">
        <f t="shared" si="16"/>
        <v>54806.885437188575</v>
      </c>
      <c r="D93" s="26">
        <f t="shared" si="9"/>
        <v>437.49999999999994</v>
      </c>
      <c r="E93" s="27">
        <f t="shared" si="12"/>
        <v>562.5</v>
      </c>
      <c r="F93" s="27"/>
      <c r="G93" s="26">
        <f t="shared" si="13"/>
        <v>1000</v>
      </c>
      <c r="H93" s="26">
        <f t="shared" si="14"/>
        <v>760.2198762122999</v>
      </c>
      <c r="I93" s="26">
        <f t="shared" si="17"/>
        <v>239.78012378770003</v>
      </c>
      <c r="J93" s="26">
        <f t="shared" si="15"/>
        <v>54046.665560976275</v>
      </c>
      <c r="K93" s="28"/>
    </row>
    <row r="94" spans="1:11" ht="12.75">
      <c r="A94" s="24">
        <f t="shared" si="10"/>
        <v>71</v>
      </c>
      <c r="B94" s="25">
        <f t="shared" si="11"/>
        <v>41734</v>
      </c>
      <c r="C94" s="26">
        <f t="shared" si="16"/>
        <v>54046.665560976275</v>
      </c>
      <c r="D94" s="26">
        <f t="shared" si="9"/>
        <v>437.49999999999994</v>
      </c>
      <c r="E94" s="27">
        <f t="shared" si="12"/>
        <v>562.5</v>
      </c>
      <c r="F94" s="27"/>
      <c r="G94" s="26">
        <f t="shared" si="13"/>
        <v>1000</v>
      </c>
      <c r="H94" s="26">
        <f t="shared" si="14"/>
        <v>763.5458381707288</v>
      </c>
      <c r="I94" s="26">
        <f t="shared" si="17"/>
        <v>236.45416182927121</v>
      </c>
      <c r="J94" s="26">
        <f t="shared" si="15"/>
        <v>53283.119722805546</v>
      </c>
      <c r="K94" s="28"/>
    </row>
    <row r="95" spans="1:11" ht="12.75">
      <c r="A95" s="24">
        <f t="shared" si="10"/>
        <v>72</v>
      </c>
      <c r="B95" s="25">
        <f t="shared" si="11"/>
        <v>41764</v>
      </c>
      <c r="C95" s="26">
        <f t="shared" si="16"/>
        <v>53283.119722805546</v>
      </c>
      <c r="D95" s="26">
        <f t="shared" si="9"/>
        <v>437.49999999999994</v>
      </c>
      <c r="E95" s="27">
        <f t="shared" si="12"/>
        <v>562.5</v>
      </c>
      <c r="F95" s="27"/>
      <c r="G95" s="26">
        <f t="shared" si="13"/>
        <v>1000</v>
      </c>
      <c r="H95" s="26">
        <f t="shared" si="14"/>
        <v>766.8863512127258</v>
      </c>
      <c r="I95" s="26">
        <f t="shared" si="17"/>
        <v>233.11364878727423</v>
      </c>
      <c r="J95" s="26">
        <f t="shared" si="15"/>
        <v>52516.23337159282</v>
      </c>
      <c r="K95" s="28"/>
    </row>
    <row r="96" spans="1:11" ht="12.75">
      <c r="A96" s="24">
        <f t="shared" si="10"/>
        <v>73</v>
      </c>
      <c r="B96" s="25">
        <f t="shared" si="11"/>
        <v>41795</v>
      </c>
      <c r="C96" s="26">
        <f t="shared" si="16"/>
        <v>52516.23337159282</v>
      </c>
      <c r="D96" s="26">
        <f t="shared" si="9"/>
        <v>437.49999999999994</v>
      </c>
      <c r="E96" s="27">
        <f t="shared" si="12"/>
        <v>562.5</v>
      </c>
      <c r="F96" s="27"/>
      <c r="G96" s="26">
        <f t="shared" si="13"/>
        <v>1000</v>
      </c>
      <c r="H96" s="26">
        <f t="shared" si="14"/>
        <v>770.2414789992814</v>
      </c>
      <c r="I96" s="26">
        <f t="shared" si="17"/>
        <v>229.7585210007186</v>
      </c>
      <c r="J96" s="26">
        <f t="shared" si="15"/>
        <v>51745.991892593534</v>
      </c>
      <c r="K96" s="28"/>
    </row>
    <row r="97" spans="1:11" ht="12.75">
      <c r="A97" s="24">
        <f t="shared" si="10"/>
        <v>74</v>
      </c>
      <c r="B97" s="25">
        <f t="shared" si="11"/>
        <v>41825</v>
      </c>
      <c r="C97" s="26">
        <f t="shared" si="16"/>
        <v>51745.991892593534</v>
      </c>
      <c r="D97" s="26">
        <f t="shared" si="9"/>
        <v>437.49999999999994</v>
      </c>
      <c r="E97" s="27">
        <f t="shared" si="12"/>
        <v>562.5</v>
      </c>
      <c r="F97" s="27"/>
      <c r="G97" s="26">
        <f t="shared" si="13"/>
        <v>1000</v>
      </c>
      <c r="H97" s="26">
        <f t="shared" si="14"/>
        <v>773.6112854699034</v>
      </c>
      <c r="I97" s="26">
        <f t="shared" si="17"/>
        <v>226.38871453009668</v>
      </c>
      <c r="J97" s="26">
        <f t="shared" si="15"/>
        <v>50972.38060712363</v>
      </c>
      <c r="K97" s="28"/>
    </row>
    <row r="98" spans="1:11" ht="12.75">
      <c r="A98" s="24">
        <f t="shared" si="10"/>
        <v>75</v>
      </c>
      <c r="B98" s="25">
        <f t="shared" si="11"/>
        <v>41856</v>
      </c>
      <c r="C98" s="26">
        <f t="shared" si="16"/>
        <v>50972.38060712363</v>
      </c>
      <c r="D98" s="26">
        <f t="shared" si="9"/>
        <v>437.49999999999994</v>
      </c>
      <c r="E98" s="27">
        <f t="shared" si="12"/>
        <v>562.5</v>
      </c>
      <c r="F98" s="27"/>
      <c r="G98" s="26">
        <f t="shared" si="13"/>
        <v>1000</v>
      </c>
      <c r="H98" s="26">
        <f t="shared" si="14"/>
        <v>776.9958348438341</v>
      </c>
      <c r="I98" s="26">
        <f t="shared" si="17"/>
        <v>223.00416515616587</v>
      </c>
      <c r="J98" s="26">
        <f t="shared" si="15"/>
        <v>50195.384772279795</v>
      </c>
      <c r="K98" s="28"/>
    </row>
    <row r="99" spans="1:11" ht="12.75">
      <c r="A99" s="24">
        <f t="shared" si="10"/>
        <v>76</v>
      </c>
      <c r="B99" s="25">
        <f t="shared" si="11"/>
        <v>41887</v>
      </c>
      <c r="C99" s="26">
        <f t="shared" si="16"/>
        <v>50195.384772279795</v>
      </c>
      <c r="D99" s="26">
        <f t="shared" si="9"/>
        <v>437.49999999999994</v>
      </c>
      <c r="E99" s="27">
        <f t="shared" si="12"/>
        <v>562.5</v>
      </c>
      <c r="F99" s="27"/>
      <c r="G99" s="26">
        <f t="shared" si="13"/>
        <v>1000</v>
      </c>
      <c r="H99" s="26">
        <f t="shared" si="14"/>
        <v>780.3951916212759</v>
      </c>
      <c r="I99" s="26">
        <f t="shared" si="17"/>
        <v>219.6048083787241</v>
      </c>
      <c r="J99" s="26">
        <f t="shared" si="15"/>
        <v>49414.98958065852</v>
      </c>
      <c r="K99" s="28"/>
    </row>
    <row r="100" spans="1:11" ht="12.75">
      <c r="A100" s="24">
        <f t="shared" si="10"/>
        <v>77</v>
      </c>
      <c r="B100" s="25">
        <f t="shared" si="11"/>
        <v>41917</v>
      </c>
      <c r="C100" s="26">
        <f t="shared" si="16"/>
        <v>49414.98958065852</v>
      </c>
      <c r="D100" s="26">
        <f t="shared" si="9"/>
        <v>437.49999999999994</v>
      </c>
      <c r="E100" s="27">
        <f t="shared" si="12"/>
        <v>562.5</v>
      </c>
      <c r="F100" s="27"/>
      <c r="G100" s="26">
        <f t="shared" si="13"/>
        <v>1000</v>
      </c>
      <c r="H100" s="26">
        <f t="shared" si="14"/>
        <v>783.809420584619</v>
      </c>
      <c r="I100" s="26">
        <f t="shared" si="17"/>
        <v>216.190579415381</v>
      </c>
      <c r="J100" s="26">
        <f t="shared" si="15"/>
        <v>48631.1801600739</v>
      </c>
      <c r="K100" s="28"/>
    </row>
    <row r="101" spans="1:11" ht="12.75">
      <c r="A101" s="24">
        <f t="shared" si="10"/>
        <v>78</v>
      </c>
      <c r="B101" s="25">
        <f t="shared" si="11"/>
        <v>41948</v>
      </c>
      <c r="C101" s="26">
        <f t="shared" si="16"/>
        <v>48631.1801600739</v>
      </c>
      <c r="D101" s="26">
        <f t="shared" si="9"/>
        <v>437.49999999999994</v>
      </c>
      <c r="E101" s="27">
        <f t="shared" si="12"/>
        <v>562.5</v>
      </c>
      <c r="F101" s="27"/>
      <c r="G101" s="26">
        <f t="shared" si="13"/>
        <v>1000</v>
      </c>
      <c r="H101" s="26">
        <f t="shared" si="14"/>
        <v>787.2385867996767</v>
      </c>
      <c r="I101" s="26">
        <f t="shared" si="17"/>
        <v>212.7614132003233</v>
      </c>
      <c r="J101" s="26">
        <f t="shared" si="15"/>
        <v>47843.94157327422</v>
      </c>
      <c r="K101" s="28"/>
    </row>
    <row r="102" spans="1:11" ht="12.75">
      <c r="A102" s="24">
        <f t="shared" si="10"/>
        <v>79</v>
      </c>
      <c r="B102" s="25">
        <f t="shared" si="11"/>
        <v>41978</v>
      </c>
      <c r="C102" s="26">
        <f t="shared" si="16"/>
        <v>47843.94157327422</v>
      </c>
      <c r="D102" s="26">
        <f t="shared" si="9"/>
        <v>437.49999999999994</v>
      </c>
      <c r="E102" s="27">
        <f t="shared" si="12"/>
        <v>562.5</v>
      </c>
      <c r="F102" s="27"/>
      <c r="G102" s="26">
        <f t="shared" si="13"/>
        <v>1000</v>
      </c>
      <c r="H102" s="26">
        <f t="shared" si="14"/>
        <v>790.6827556169253</v>
      </c>
      <c r="I102" s="26">
        <f t="shared" si="17"/>
        <v>209.3172443830747</v>
      </c>
      <c r="J102" s="26">
        <f t="shared" si="15"/>
        <v>47053.2588176573</v>
      </c>
      <c r="K102" s="28"/>
    </row>
    <row r="103" spans="1:11" ht="12.75">
      <c r="A103" s="24">
        <f t="shared" si="10"/>
        <v>80</v>
      </c>
      <c r="B103" s="25">
        <f t="shared" si="11"/>
        <v>42009</v>
      </c>
      <c r="C103" s="26">
        <f t="shared" si="16"/>
        <v>47053.2588176573</v>
      </c>
      <c r="D103" s="26">
        <f t="shared" si="9"/>
        <v>437.49999999999994</v>
      </c>
      <c r="E103" s="27">
        <f t="shared" si="12"/>
        <v>562.5</v>
      </c>
      <c r="F103" s="27"/>
      <c r="G103" s="26">
        <f t="shared" si="13"/>
        <v>1000</v>
      </c>
      <c r="H103" s="26">
        <f t="shared" si="14"/>
        <v>794.1419926727493</v>
      </c>
      <c r="I103" s="26">
        <f t="shared" si="17"/>
        <v>205.85800732725068</v>
      </c>
      <c r="J103" s="26">
        <f t="shared" si="15"/>
        <v>46259.11682498455</v>
      </c>
      <c r="K103" s="28"/>
    </row>
    <row r="104" spans="1:11" ht="12.75">
      <c r="A104" s="24">
        <f t="shared" si="10"/>
        <v>81</v>
      </c>
      <c r="B104" s="25">
        <f t="shared" si="11"/>
        <v>42040</v>
      </c>
      <c r="C104" s="26">
        <f t="shared" si="16"/>
        <v>46259.11682498455</v>
      </c>
      <c r="D104" s="26">
        <f t="shared" si="9"/>
        <v>437.49999999999994</v>
      </c>
      <c r="E104" s="27">
        <f t="shared" si="12"/>
        <v>562.5</v>
      </c>
      <c r="F104" s="27"/>
      <c r="G104" s="26">
        <f t="shared" si="13"/>
        <v>1000</v>
      </c>
      <c r="H104" s="26">
        <f t="shared" si="14"/>
        <v>797.6163638906926</v>
      </c>
      <c r="I104" s="26">
        <f t="shared" si="17"/>
        <v>202.38363610930742</v>
      </c>
      <c r="J104" s="26">
        <f t="shared" si="15"/>
        <v>45461.500461093856</v>
      </c>
      <c r="K104" s="28"/>
    </row>
    <row r="105" spans="1:11" ht="12.75">
      <c r="A105" s="24">
        <f t="shared" si="10"/>
        <v>82</v>
      </c>
      <c r="B105" s="25">
        <f t="shared" si="11"/>
        <v>42068</v>
      </c>
      <c r="C105" s="26">
        <f t="shared" si="16"/>
        <v>45461.500461093856</v>
      </c>
      <c r="D105" s="26">
        <f t="shared" si="9"/>
        <v>437.49999999999994</v>
      </c>
      <c r="E105" s="27">
        <f t="shared" si="12"/>
        <v>562.5</v>
      </c>
      <c r="F105" s="27"/>
      <c r="G105" s="26">
        <f t="shared" si="13"/>
        <v>1000</v>
      </c>
      <c r="H105" s="26">
        <f t="shared" si="14"/>
        <v>801.1059354827144</v>
      </c>
      <c r="I105" s="26">
        <f t="shared" si="17"/>
        <v>198.8940645172856</v>
      </c>
      <c r="J105" s="26">
        <f t="shared" si="15"/>
        <v>44660.39452561114</v>
      </c>
      <c r="K105" s="28"/>
    </row>
    <row r="106" spans="1:11" ht="12.75">
      <c r="A106" s="24">
        <f t="shared" si="10"/>
        <v>83</v>
      </c>
      <c r="B106" s="25">
        <f t="shared" si="11"/>
        <v>42099</v>
      </c>
      <c r="C106" s="26">
        <f t="shared" si="16"/>
        <v>44660.39452561114</v>
      </c>
      <c r="D106" s="26">
        <f t="shared" si="9"/>
        <v>437.49999999999994</v>
      </c>
      <c r="E106" s="27">
        <f t="shared" si="12"/>
        <v>562.5</v>
      </c>
      <c r="F106" s="27"/>
      <c r="G106" s="26">
        <f t="shared" si="13"/>
        <v>1000</v>
      </c>
      <c r="H106" s="26">
        <f t="shared" si="14"/>
        <v>804.6107739504513</v>
      </c>
      <c r="I106" s="26">
        <f t="shared" si="17"/>
        <v>195.38922604954874</v>
      </c>
      <c r="J106" s="26">
        <f t="shared" si="15"/>
        <v>43855.78375166069</v>
      </c>
      <c r="K106" s="28"/>
    </row>
    <row r="107" spans="1:11" ht="12.75">
      <c r="A107" s="24">
        <f t="shared" si="10"/>
        <v>84</v>
      </c>
      <c r="B107" s="25">
        <f t="shared" si="11"/>
        <v>42129</v>
      </c>
      <c r="C107" s="26">
        <f t="shared" si="16"/>
        <v>43855.78375166069</v>
      </c>
      <c r="D107" s="26">
        <f t="shared" si="9"/>
        <v>437.49999999999994</v>
      </c>
      <c r="E107" s="27">
        <f t="shared" si="12"/>
        <v>562.5</v>
      </c>
      <c r="F107" s="27"/>
      <c r="G107" s="26">
        <f t="shared" si="13"/>
        <v>1000</v>
      </c>
      <c r="H107" s="26">
        <f t="shared" si="14"/>
        <v>808.1309460864845</v>
      </c>
      <c r="I107" s="26">
        <f t="shared" si="17"/>
        <v>191.8690539135155</v>
      </c>
      <c r="J107" s="26">
        <f t="shared" si="15"/>
        <v>43047.6528055742</v>
      </c>
      <c r="K107" s="28"/>
    </row>
    <row r="108" spans="1:11" ht="12.75">
      <c r="A108" s="24">
        <f t="shared" si="10"/>
        <v>85</v>
      </c>
      <c r="B108" s="25">
        <f t="shared" si="11"/>
        <v>42160</v>
      </c>
      <c r="C108" s="26">
        <f t="shared" si="16"/>
        <v>43047.6528055742</v>
      </c>
      <c r="D108" s="26">
        <f t="shared" si="9"/>
        <v>437.49999999999994</v>
      </c>
      <c r="E108" s="27">
        <f t="shared" si="12"/>
        <v>562.5</v>
      </c>
      <c r="F108" s="27"/>
      <c r="G108" s="26">
        <f t="shared" si="13"/>
        <v>1000</v>
      </c>
      <c r="H108" s="26">
        <f t="shared" si="14"/>
        <v>811.6665189756129</v>
      </c>
      <c r="I108" s="26">
        <f t="shared" si="17"/>
        <v>188.3334810243871</v>
      </c>
      <c r="J108" s="26">
        <f t="shared" si="15"/>
        <v>42235.98628659859</v>
      </c>
      <c r="K108" s="28"/>
    </row>
    <row r="109" spans="1:11" ht="12.75">
      <c r="A109" s="24">
        <f t="shared" si="10"/>
        <v>86</v>
      </c>
      <c r="B109" s="25">
        <f t="shared" si="11"/>
        <v>42190</v>
      </c>
      <c r="C109" s="26">
        <f t="shared" si="16"/>
        <v>42235.98628659859</v>
      </c>
      <c r="D109" s="26">
        <f t="shared" si="9"/>
        <v>437.49999999999994</v>
      </c>
      <c r="E109" s="27">
        <f t="shared" si="12"/>
        <v>562.5</v>
      </c>
      <c r="F109" s="27"/>
      <c r="G109" s="26">
        <f t="shared" si="13"/>
        <v>1000</v>
      </c>
      <c r="H109" s="26">
        <f t="shared" si="14"/>
        <v>815.2175599961312</v>
      </c>
      <c r="I109" s="26">
        <f t="shared" si="17"/>
        <v>184.78244000386883</v>
      </c>
      <c r="J109" s="26">
        <f t="shared" si="15"/>
        <v>41420.76872660246</v>
      </c>
      <c r="K109" s="28"/>
    </row>
    <row r="110" spans="1:11" ht="12.75">
      <c r="A110" s="24">
        <f t="shared" si="10"/>
        <v>87</v>
      </c>
      <c r="B110" s="25">
        <f t="shared" si="11"/>
        <v>42221</v>
      </c>
      <c r="C110" s="26">
        <f t="shared" si="16"/>
        <v>41420.76872660246</v>
      </c>
      <c r="D110" s="26">
        <f t="shared" si="9"/>
        <v>437.49999999999994</v>
      </c>
      <c r="E110" s="27">
        <f t="shared" si="12"/>
        <v>562.5</v>
      </c>
      <c r="F110" s="27"/>
      <c r="G110" s="26">
        <f t="shared" si="13"/>
        <v>1000</v>
      </c>
      <c r="H110" s="26">
        <f t="shared" si="14"/>
        <v>818.7841368211142</v>
      </c>
      <c r="I110" s="26">
        <f t="shared" si="17"/>
        <v>181.21586317888577</v>
      </c>
      <c r="J110" s="26">
        <f t="shared" si="15"/>
        <v>40601.98458978134</v>
      </c>
      <c r="K110" s="28"/>
    </row>
    <row r="111" spans="1:11" ht="12.75">
      <c r="A111" s="24">
        <f t="shared" si="10"/>
        <v>88</v>
      </c>
      <c r="B111" s="25">
        <f t="shared" si="11"/>
        <v>42252</v>
      </c>
      <c r="C111" s="26">
        <f t="shared" si="16"/>
        <v>40601.98458978134</v>
      </c>
      <c r="D111" s="26">
        <f t="shared" si="9"/>
        <v>437.49999999999994</v>
      </c>
      <c r="E111" s="27">
        <f t="shared" si="12"/>
        <v>562.5</v>
      </c>
      <c r="F111" s="27"/>
      <c r="G111" s="26">
        <f t="shared" si="13"/>
        <v>1000</v>
      </c>
      <c r="H111" s="26">
        <f t="shared" si="14"/>
        <v>822.3663174197067</v>
      </c>
      <c r="I111" s="26">
        <f t="shared" si="17"/>
        <v>177.63368258029337</v>
      </c>
      <c r="J111" s="26">
        <f t="shared" si="15"/>
        <v>39779.61827236164</v>
      </c>
      <c r="K111" s="28"/>
    </row>
    <row r="112" spans="1:11" ht="12.75">
      <c r="A112" s="24">
        <f t="shared" si="10"/>
        <v>89</v>
      </c>
      <c r="B112" s="25">
        <f t="shared" si="11"/>
        <v>42282</v>
      </c>
      <c r="C112" s="26">
        <f t="shared" si="16"/>
        <v>39779.61827236164</v>
      </c>
      <c r="D112" s="26">
        <f t="shared" si="9"/>
        <v>437.49999999999994</v>
      </c>
      <c r="E112" s="27">
        <f t="shared" si="12"/>
        <v>562.5</v>
      </c>
      <c r="F112" s="27"/>
      <c r="G112" s="26">
        <f t="shared" si="13"/>
        <v>1000</v>
      </c>
      <c r="H112" s="26">
        <f t="shared" si="14"/>
        <v>825.9641700584178</v>
      </c>
      <c r="I112" s="26">
        <f t="shared" si="17"/>
        <v>174.03582994158216</v>
      </c>
      <c r="J112" s="26">
        <f t="shared" si="15"/>
        <v>38953.65410230322</v>
      </c>
      <c r="K112" s="28"/>
    </row>
    <row r="113" spans="1:11" ht="12.75">
      <c r="A113" s="24">
        <f t="shared" si="10"/>
        <v>90</v>
      </c>
      <c r="B113" s="25">
        <f t="shared" si="11"/>
        <v>42313</v>
      </c>
      <c r="C113" s="26">
        <f t="shared" si="16"/>
        <v>38953.65410230322</v>
      </c>
      <c r="D113" s="26">
        <f t="shared" si="9"/>
        <v>437.49999999999994</v>
      </c>
      <c r="E113" s="27">
        <f t="shared" si="12"/>
        <v>562.5</v>
      </c>
      <c r="F113" s="27"/>
      <c r="G113" s="26">
        <f t="shared" si="13"/>
        <v>1000</v>
      </c>
      <c r="H113" s="26">
        <f t="shared" si="14"/>
        <v>829.5777633024234</v>
      </c>
      <c r="I113" s="26">
        <f t="shared" si="17"/>
        <v>170.42223669757658</v>
      </c>
      <c r="J113" s="26">
        <f t="shared" si="15"/>
        <v>38124.07633900079</v>
      </c>
      <c r="K113" s="28"/>
    </row>
    <row r="114" spans="1:11" ht="12.75">
      <c r="A114" s="24">
        <f t="shared" si="10"/>
        <v>91</v>
      </c>
      <c r="B114" s="25">
        <f t="shared" si="11"/>
        <v>42343</v>
      </c>
      <c r="C114" s="26">
        <f t="shared" si="16"/>
        <v>38124.07633900079</v>
      </c>
      <c r="D114" s="26">
        <f t="shared" si="9"/>
        <v>437.49999999999994</v>
      </c>
      <c r="E114" s="27">
        <f t="shared" si="12"/>
        <v>562.5</v>
      </c>
      <c r="F114" s="27"/>
      <c r="G114" s="26">
        <f t="shared" si="13"/>
        <v>1000</v>
      </c>
      <c r="H114" s="26">
        <f t="shared" si="14"/>
        <v>833.2071660168715</v>
      </c>
      <c r="I114" s="26">
        <f t="shared" si="17"/>
        <v>166.79283398312847</v>
      </c>
      <c r="J114" s="26">
        <f t="shared" si="15"/>
        <v>37290.86917298392</v>
      </c>
      <c r="K114" s="28"/>
    </row>
    <row r="115" spans="1:11" ht="12.75">
      <c r="A115" s="24">
        <f t="shared" si="10"/>
        <v>92</v>
      </c>
      <c r="B115" s="25">
        <f t="shared" si="11"/>
        <v>42374</v>
      </c>
      <c r="C115" s="26">
        <f t="shared" si="16"/>
        <v>37290.86917298392</v>
      </c>
      <c r="D115" s="26">
        <f t="shared" si="9"/>
        <v>437.49999999999994</v>
      </c>
      <c r="E115" s="27">
        <f t="shared" si="12"/>
        <v>562.5</v>
      </c>
      <c r="F115" s="27"/>
      <c r="G115" s="26">
        <f t="shared" si="13"/>
        <v>1000</v>
      </c>
      <c r="H115" s="26">
        <f t="shared" si="14"/>
        <v>836.8524473681954</v>
      </c>
      <c r="I115" s="26">
        <f t="shared" si="17"/>
        <v>163.14755263180464</v>
      </c>
      <c r="J115" s="26">
        <f t="shared" si="15"/>
        <v>36454.01672561572</v>
      </c>
      <c r="K115" s="28"/>
    </row>
    <row r="116" spans="1:11" ht="12.75">
      <c r="A116" s="24">
        <f t="shared" si="10"/>
        <v>93</v>
      </c>
      <c r="B116" s="25">
        <f t="shared" si="11"/>
        <v>42405</v>
      </c>
      <c r="C116" s="26">
        <f t="shared" si="16"/>
        <v>36454.01672561572</v>
      </c>
      <c r="D116" s="26">
        <f t="shared" si="9"/>
        <v>437.49999999999994</v>
      </c>
      <c r="E116" s="27">
        <f t="shared" si="12"/>
        <v>562.5</v>
      </c>
      <c r="F116" s="27"/>
      <c r="G116" s="26">
        <f t="shared" si="13"/>
        <v>1000</v>
      </c>
      <c r="H116" s="26">
        <f t="shared" si="14"/>
        <v>840.5136768254313</v>
      </c>
      <c r="I116" s="26">
        <f t="shared" si="17"/>
        <v>159.48632317456878</v>
      </c>
      <c r="J116" s="26">
        <f t="shared" si="15"/>
        <v>35613.50304879029</v>
      </c>
      <c r="K116" s="28"/>
    </row>
    <row r="117" spans="1:11" ht="12.75">
      <c r="A117" s="24">
        <f t="shared" si="10"/>
        <v>94</v>
      </c>
      <c r="B117" s="25">
        <f t="shared" si="11"/>
        <v>42434</v>
      </c>
      <c r="C117" s="26">
        <f t="shared" si="16"/>
        <v>35613.50304879029</v>
      </c>
      <c r="D117" s="26">
        <f t="shared" si="9"/>
        <v>437.49999999999994</v>
      </c>
      <c r="E117" s="27">
        <f t="shared" si="12"/>
        <v>562.5</v>
      </c>
      <c r="F117" s="27"/>
      <c r="G117" s="26">
        <f t="shared" si="13"/>
        <v>1000</v>
      </c>
      <c r="H117" s="26">
        <f t="shared" si="14"/>
        <v>844.1909241615425</v>
      </c>
      <c r="I117" s="26">
        <f t="shared" si="17"/>
        <v>155.80907583845752</v>
      </c>
      <c r="J117" s="26">
        <f t="shared" si="15"/>
        <v>34769.31212462875</v>
      </c>
      <c r="K117" s="28"/>
    </row>
    <row r="118" spans="1:11" ht="12.75">
      <c r="A118" s="24">
        <f t="shared" si="10"/>
        <v>95</v>
      </c>
      <c r="B118" s="25">
        <f t="shared" si="11"/>
        <v>42465</v>
      </c>
      <c r="C118" s="26">
        <f t="shared" si="16"/>
        <v>34769.31212462875</v>
      </c>
      <c r="D118" s="26">
        <f t="shared" si="9"/>
        <v>437.49999999999994</v>
      </c>
      <c r="E118" s="27">
        <f t="shared" si="12"/>
        <v>562.5</v>
      </c>
      <c r="F118" s="27"/>
      <c r="G118" s="26">
        <f t="shared" si="13"/>
        <v>1000</v>
      </c>
      <c r="H118" s="26">
        <f t="shared" si="14"/>
        <v>847.8842594547492</v>
      </c>
      <c r="I118" s="26">
        <f t="shared" si="17"/>
        <v>152.11574054525076</v>
      </c>
      <c r="J118" s="26">
        <f t="shared" si="15"/>
        <v>33921.427865174</v>
      </c>
      <c r="K118" s="28"/>
    </row>
    <row r="119" spans="1:11" ht="12.75">
      <c r="A119" s="24">
        <f t="shared" si="10"/>
        <v>96</v>
      </c>
      <c r="B119" s="25">
        <f t="shared" si="11"/>
        <v>42495</v>
      </c>
      <c r="C119" s="26">
        <f t="shared" si="16"/>
        <v>33921.427865174</v>
      </c>
      <c r="D119" s="26">
        <f t="shared" si="9"/>
        <v>437.49999999999994</v>
      </c>
      <c r="E119" s="27">
        <f t="shared" si="12"/>
        <v>562.5</v>
      </c>
      <c r="F119" s="27"/>
      <c r="G119" s="26">
        <f t="shared" si="13"/>
        <v>1000</v>
      </c>
      <c r="H119" s="26">
        <f t="shared" si="14"/>
        <v>851.5937530898638</v>
      </c>
      <c r="I119" s="26">
        <f t="shared" si="17"/>
        <v>148.40624691013625</v>
      </c>
      <c r="J119" s="26">
        <f t="shared" si="15"/>
        <v>33069.834112084136</v>
      </c>
      <c r="K119" s="28"/>
    </row>
    <row r="120" spans="1:11" ht="12.75">
      <c r="A120" s="24">
        <f t="shared" si="10"/>
        <v>97</v>
      </c>
      <c r="B120" s="25">
        <f t="shared" si="11"/>
        <v>42526</v>
      </c>
      <c r="C120" s="26">
        <f t="shared" si="16"/>
        <v>33069.834112084136</v>
      </c>
      <c r="D120" s="26">
        <f t="shared" si="9"/>
        <v>437.49999999999994</v>
      </c>
      <c r="E120" s="27">
        <f t="shared" si="12"/>
        <v>562.5</v>
      </c>
      <c r="F120" s="27"/>
      <c r="G120" s="26">
        <f t="shared" si="13"/>
        <v>1000</v>
      </c>
      <c r="H120" s="26">
        <f t="shared" si="14"/>
        <v>855.3194757596319</v>
      </c>
      <c r="I120" s="26">
        <f t="shared" si="17"/>
        <v>144.6805242403681</v>
      </c>
      <c r="J120" s="26">
        <f t="shared" si="15"/>
        <v>32214.514636324504</v>
      </c>
      <c r="K120" s="28"/>
    </row>
    <row r="121" spans="1:11" ht="12.75">
      <c r="A121" s="24">
        <f t="shared" si="10"/>
        <v>98</v>
      </c>
      <c r="B121" s="25">
        <f t="shared" si="11"/>
        <v>42556</v>
      </c>
      <c r="C121" s="26">
        <f t="shared" si="16"/>
        <v>32214.514636324504</v>
      </c>
      <c r="D121" s="26">
        <f t="shared" si="9"/>
        <v>437.49999999999994</v>
      </c>
      <c r="E121" s="27">
        <f t="shared" si="12"/>
        <v>562.5</v>
      </c>
      <c r="F121" s="27"/>
      <c r="G121" s="26">
        <f t="shared" si="13"/>
        <v>1000</v>
      </c>
      <c r="H121" s="26">
        <f t="shared" si="14"/>
        <v>859.0614984660804</v>
      </c>
      <c r="I121" s="26">
        <f t="shared" si="17"/>
        <v>140.9385015339197</v>
      </c>
      <c r="J121" s="26">
        <f t="shared" si="15"/>
        <v>31355.453137858425</v>
      </c>
      <c r="K121" s="28"/>
    </row>
    <row r="122" spans="1:11" ht="12.75">
      <c r="A122" s="24">
        <f t="shared" si="10"/>
        <v>99</v>
      </c>
      <c r="B122" s="25">
        <f t="shared" si="11"/>
        <v>42587</v>
      </c>
      <c r="C122" s="26">
        <f t="shared" si="16"/>
        <v>31355.453137858425</v>
      </c>
      <c r="D122" s="26">
        <f t="shared" si="9"/>
        <v>437.49999999999994</v>
      </c>
      <c r="E122" s="27">
        <f t="shared" si="12"/>
        <v>562.5</v>
      </c>
      <c r="F122" s="27"/>
      <c r="G122" s="26">
        <f t="shared" si="13"/>
        <v>1000</v>
      </c>
      <c r="H122" s="26">
        <f t="shared" si="14"/>
        <v>862.8198925218694</v>
      </c>
      <c r="I122" s="26">
        <f t="shared" si="17"/>
        <v>137.18010747813062</v>
      </c>
      <c r="J122" s="26">
        <f t="shared" si="15"/>
        <v>30492.633245336554</v>
      </c>
      <c r="K122" s="28"/>
    </row>
    <row r="123" spans="1:11" ht="12.75">
      <c r="A123" s="24">
        <f t="shared" si="10"/>
        <v>100</v>
      </c>
      <c r="B123" s="25">
        <f t="shared" si="11"/>
        <v>42618</v>
      </c>
      <c r="C123" s="26">
        <f t="shared" si="16"/>
        <v>30492.633245336554</v>
      </c>
      <c r="D123" s="26">
        <f t="shared" si="9"/>
        <v>437.49999999999994</v>
      </c>
      <c r="E123" s="27">
        <f t="shared" si="12"/>
        <v>562.5</v>
      </c>
      <c r="F123" s="27"/>
      <c r="G123" s="26">
        <f t="shared" si="13"/>
        <v>1000</v>
      </c>
      <c r="H123" s="26">
        <f t="shared" si="14"/>
        <v>866.5947295516526</v>
      </c>
      <c r="I123" s="26">
        <f t="shared" si="17"/>
        <v>133.4052704483474</v>
      </c>
      <c r="J123" s="26">
        <f t="shared" si="15"/>
        <v>29626.0385157849</v>
      </c>
      <c r="K123" s="28"/>
    </row>
    <row r="124" spans="1:11" ht="12.75">
      <c r="A124" s="24">
        <f t="shared" si="10"/>
        <v>101</v>
      </c>
      <c r="B124" s="25">
        <f t="shared" si="11"/>
        <v>42648</v>
      </c>
      <c r="C124" s="26">
        <f t="shared" si="16"/>
        <v>29626.0385157849</v>
      </c>
      <c r="D124" s="26">
        <f t="shared" si="9"/>
        <v>437.49999999999994</v>
      </c>
      <c r="E124" s="27">
        <f t="shared" si="12"/>
        <v>562.5</v>
      </c>
      <c r="F124" s="27"/>
      <c r="G124" s="26">
        <f t="shared" si="13"/>
        <v>1000</v>
      </c>
      <c r="H124" s="26">
        <f t="shared" si="14"/>
        <v>870.386081493441</v>
      </c>
      <c r="I124" s="26">
        <f t="shared" si="17"/>
        <v>129.61391850655895</v>
      </c>
      <c r="J124" s="26">
        <f t="shared" si="15"/>
        <v>28755.65243429146</v>
      </c>
      <c r="K124" s="28"/>
    </row>
    <row r="125" spans="1:11" ht="12.75">
      <c r="A125" s="24">
        <f t="shared" si="10"/>
        <v>102</v>
      </c>
      <c r="B125" s="25">
        <f t="shared" si="11"/>
        <v>42679</v>
      </c>
      <c r="C125" s="26">
        <f t="shared" si="16"/>
        <v>28755.65243429146</v>
      </c>
      <c r="D125" s="26">
        <f t="shared" si="9"/>
        <v>437.49999999999994</v>
      </c>
      <c r="E125" s="27">
        <f t="shared" si="12"/>
        <v>562.5</v>
      </c>
      <c r="F125" s="27"/>
      <c r="G125" s="26">
        <f t="shared" si="13"/>
        <v>1000</v>
      </c>
      <c r="H125" s="26">
        <f t="shared" si="14"/>
        <v>874.1940205999749</v>
      </c>
      <c r="I125" s="26">
        <f t="shared" si="17"/>
        <v>125.80597940002514</v>
      </c>
      <c r="J125" s="26">
        <f t="shared" si="15"/>
        <v>27881.458413691485</v>
      </c>
      <c r="K125" s="28"/>
    </row>
    <row r="126" spans="1:11" ht="12.75">
      <c r="A126" s="24">
        <f t="shared" si="10"/>
        <v>103</v>
      </c>
      <c r="B126" s="25">
        <f t="shared" si="11"/>
        <v>42709</v>
      </c>
      <c r="C126" s="26">
        <f t="shared" si="16"/>
        <v>27881.458413691485</v>
      </c>
      <c r="D126" s="26">
        <f t="shared" si="9"/>
        <v>437.49999999999994</v>
      </c>
      <c r="E126" s="27">
        <f t="shared" si="12"/>
        <v>562.5</v>
      </c>
      <c r="F126" s="27"/>
      <c r="G126" s="26">
        <f t="shared" si="13"/>
        <v>1000</v>
      </c>
      <c r="H126" s="26">
        <f t="shared" si="14"/>
        <v>878.0186194400998</v>
      </c>
      <c r="I126" s="26">
        <f t="shared" si="17"/>
        <v>121.98138055990024</v>
      </c>
      <c r="J126" s="26">
        <f t="shared" si="15"/>
        <v>27003.439794251386</v>
      </c>
      <c r="K126" s="28"/>
    </row>
    <row r="127" spans="1:11" ht="12.75">
      <c r="A127" s="24">
        <f t="shared" si="10"/>
        <v>104</v>
      </c>
      <c r="B127" s="25">
        <f t="shared" si="11"/>
        <v>42740</v>
      </c>
      <c r="C127" s="26">
        <f t="shared" si="16"/>
        <v>27003.439794251386</v>
      </c>
      <c r="D127" s="26">
        <f t="shared" si="9"/>
        <v>437.49999999999994</v>
      </c>
      <c r="E127" s="27">
        <f t="shared" si="12"/>
        <v>562.5</v>
      </c>
      <c r="F127" s="27"/>
      <c r="G127" s="26">
        <f t="shared" si="13"/>
        <v>1000</v>
      </c>
      <c r="H127" s="26">
        <f t="shared" si="14"/>
        <v>881.8599509001501</v>
      </c>
      <c r="I127" s="26">
        <f t="shared" si="17"/>
        <v>118.14004909984982</v>
      </c>
      <c r="J127" s="26">
        <f t="shared" si="15"/>
        <v>26121.579843351235</v>
      </c>
      <c r="K127" s="28"/>
    </row>
    <row r="128" spans="1:11" ht="12.75">
      <c r="A128" s="24">
        <f t="shared" si="10"/>
        <v>105</v>
      </c>
      <c r="B128" s="25">
        <f t="shared" si="11"/>
        <v>42771</v>
      </c>
      <c r="C128" s="26">
        <f t="shared" si="16"/>
        <v>26121.579843351235</v>
      </c>
      <c r="D128" s="26">
        <f t="shared" si="9"/>
        <v>437.49999999999994</v>
      </c>
      <c r="E128" s="27">
        <f t="shared" si="12"/>
        <v>562.5</v>
      </c>
      <c r="F128" s="27"/>
      <c r="G128" s="26">
        <f t="shared" si="13"/>
        <v>1000</v>
      </c>
      <c r="H128" s="26">
        <f t="shared" si="14"/>
        <v>885.7180881853384</v>
      </c>
      <c r="I128" s="26">
        <f t="shared" si="17"/>
        <v>114.28191181466165</v>
      </c>
      <c r="J128" s="26">
        <f t="shared" si="15"/>
        <v>25235.861755165897</v>
      </c>
      <c r="K128" s="28"/>
    </row>
    <row r="129" spans="1:11" ht="12.75">
      <c r="A129" s="24">
        <f t="shared" si="10"/>
        <v>106</v>
      </c>
      <c r="B129" s="25">
        <f t="shared" si="11"/>
        <v>42799</v>
      </c>
      <c r="C129" s="26">
        <f t="shared" si="16"/>
        <v>25235.861755165897</v>
      </c>
      <c r="D129" s="26">
        <f t="shared" si="9"/>
        <v>437.49999999999994</v>
      </c>
      <c r="E129" s="27">
        <f t="shared" si="12"/>
        <v>562.5</v>
      </c>
      <c r="F129" s="27"/>
      <c r="G129" s="26">
        <f t="shared" si="13"/>
        <v>1000</v>
      </c>
      <c r="H129" s="26">
        <f t="shared" si="14"/>
        <v>889.5931048211492</v>
      </c>
      <c r="I129" s="26">
        <f t="shared" si="17"/>
        <v>110.40689517885079</v>
      </c>
      <c r="J129" s="26">
        <f t="shared" si="15"/>
        <v>24346.268650344748</v>
      </c>
      <c r="K129" s="28"/>
    </row>
    <row r="130" spans="1:11" ht="12.75">
      <c r="A130" s="24">
        <f t="shared" si="10"/>
        <v>107</v>
      </c>
      <c r="B130" s="25">
        <f t="shared" si="11"/>
        <v>42830</v>
      </c>
      <c r="C130" s="26">
        <f t="shared" si="16"/>
        <v>24346.268650344748</v>
      </c>
      <c r="D130" s="26">
        <f t="shared" si="9"/>
        <v>437.49999999999994</v>
      </c>
      <c r="E130" s="27">
        <f t="shared" si="12"/>
        <v>562.5</v>
      </c>
      <c r="F130" s="27"/>
      <c r="G130" s="26">
        <f t="shared" si="13"/>
        <v>1000</v>
      </c>
      <c r="H130" s="26">
        <f t="shared" si="14"/>
        <v>893.4850746547418</v>
      </c>
      <c r="I130" s="26">
        <f t="shared" si="17"/>
        <v>106.51492534525828</v>
      </c>
      <c r="J130" s="26">
        <f t="shared" si="15"/>
        <v>23452.783575690006</v>
      </c>
      <c r="K130" s="28"/>
    </row>
    <row r="131" spans="1:11" ht="12.75">
      <c r="A131" s="24">
        <f t="shared" si="10"/>
        <v>108</v>
      </c>
      <c r="B131" s="25">
        <f t="shared" si="11"/>
        <v>42860</v>
      </c>
      <c r="C131" s="26">
        <f t="shared" si="16"/>
        <v>23452.783575690006</v>
      </c>
      <c r="D131" s="26">
        <f t="shared" si="9"/>
        <v>437.49999999999994</v>
      </c>
      <c r="E131" s="27">
        <f t="shared" si="12"/>
        <v>562.5</v>
      </c>
      <c r="F131" s="27"/>
      <c r="G131" s="26">
        <f t="shared" si="13"/>
        <v>1000</v>
      </c>
      <c r="H131" s="26">
        <f t="shared" si="14"/>
        <v>897.3940718563563</v>
      </c>
      <c r="I131" s="26">
        <f t="shared" si="17"/>
        <v>102.60592814364378</v>
      </c>
      <c r="J131" s="26">
        <f t="shared" si="15"/>
        <v>22555.38950383365</v>
      </c>
      <c r="K131" s="28"/>
    </row>
    <row r="132" spans="1:11" ht="12.75">
      <c r="A132" s="24">
        <f t="shared" si="10"/>
        <v>109</v>
      </c>
      <c r="B132" s="25">
        <f t="shared" si="11"/>
        <v>42891</v>
      </c>
      <c r="C132" s="26">
        <f t="shared" si="16"/>
        <v>22555.38950383365</v>
      </c>
      <c r="D132" s="26">
        <f t="shared" si="9"/>
        <v>437.49999999999994</v>
      </c>
      <c r="E132" s="27">
        <f t="shared" si="12"/>
        <v>562.5</v>
      </c>
      <c r="F132" s="27"/>
      <c r="G132" s="26">
        <f t="shared" si="13"/>
        <v>1000</v>
      </c>
      <c r="H132" s="26">
        <f t="shared" si="14"/>
        <v>901.3201709207278</v>
      </c>
      <c r="I132" s="26">
        <f t="shared" si="17"/>
        <v>98.67982907927221</v>
      </c>
      <c r="J132" s="26">
        <f t="shared" si="15"/>
        <v>21654.06933291292</v>
      </c>
      <c r="K132" s="28"/>
    </row>
    <row r="133" spans="1:11" ht="12.75">
      <c r="A133" s="24">
        <f t="shared" si="10"/>
        <v>110</v>
      </c>
      <c r="B133" s="25">
        <f t="shared" si="11"/>
        <v>42921</v>
      </c>
      <c r="C133" s="26">
        <f t="shared" si="16"/>
        <v>21654.06933291292</v>
      </c>
      <c r="D133" s="26">
        <f t="shared" si="9"/>
        <v>437.49999999999994</v>
      </c>
      <c r="E133" s="27">
        <f t="shared" si="12"/>
        <v>562.5</v>
      </c>
      <c r="F133" s="27"/>
      <c r="G133" s="26">
        <f t="shared" si="13"/>
        <v>1000</v>
      </c>
      <c r="H133" s="26">
        <f t="shared" si="14"/>
        <v>905.2634466685059</v>
      </c>
      <c r="I133" s="26">
        <f t="shared" si="17"/>
        <v>94.73655333149402</v>
      </c>
      <c r="J133" s="26">
        <f t="shared" si="15"/>
        <v>20748.805886244416</v>
      </c>
      <c r="K133" s="28"/>
    </row>
    <row r="134" spans="1:11" ht="12.75">
      <c r="A134" s="24">
        <f t="shared" si="10"/>
        <v>111</v>
      </c>
      <c r="B134" s="25">
        <f t="shared" si="11"/>
        <v>42952</v>
      </c>
      <c r="C134" s="26">
        <f t="shared" si="16"/>
        <v>20748.805886244416</v>
      </c>
      <c r="D134" s="26">
        <f t="shared" si="9"/>
        <v>437.49999999999994</v>
      </c>
      <c r="E134" s="27">
        <f t="shared" si="12"/>
        <v>562.5</v>
      </c>
      <c r="F134" s="27"/>
      <c r="G134" s="26">
        <f t="shared" si="13"/>
        <v>1000</v>
      </c>
      <c r="H134" s="26">
        <f t="shared" si="14"/>
        <v>909.2239742476806</v>
      </c>
      <c r="I134" s="26">
        <f t="shared" si="17"/>
        <v>90.77602575231931</v>
      </c>
      <c r="J134" s="26">
        <f t="shared" si="15"/>
        <v>19839.581911996735</v>
      </c>
      <c r="K134" s="28"/>
    </row>
    <row r="135" spans="1:11" ht="12.75">
      <c r="A135" s="24">
        <f t="shared" si="10"/>
        <v>112</v>
      </c>
      <c r="B135" s="25">
        <f t="shared" si="11"/>
        <v>42983</v>
      </c>
      <c r="C135" s="26">
        <f t="shared" si="16"/>
        <v>19839.581911996735</v>
      </c>
      <c r="D135" s="26">
        <f t="shared" si="9"/>
        <v>437.49999999999994</v>
      </c>
      <c r="E135" s="27">
        <f t="shared" si="12"/>
        <v>562.5</v>
      </c>
      <c r="F135" s="27"/>
      <c r="G135" s="26">
        <f t="shared" si="13"/>
        <v>1000</v>
      </c>
      <c r="H135" s="26">
        <f t="shared" si="14"/>
        <v>913.2018291350143</v>
      </c>
      <c r="I135" s="26">
        <f t="shared" si="17"/>
        <v>86.7981708649857</v>
      </c>
      <c r="J135" s="26">
        <f t="shared" si="15"/>
        <v>18926.38008286172</v>
      </c>
      <c r="K135" s="28"/>
    </row>
    <row r="136" spans="1:11" ht="12.75">
      <c r="A136" s="24">
        <f t="shared" si="10"/>
        <v>113</v>
      </c>
      <c r="B136" s="25">
        <f t="shared" si="11"/>
        <v>43013</v>
      </c>
      <c r="C136" s="26">
        <f t="shared" si="16"/>
        <v>18926.38008286172</v>
      </c>
      <c r="D136" s="26">
        <f t="shared" si="9"/>
        <v>437.49999999999994</v>
      </c>
      <c r="E136" s="27">
        <f t="shared" si="12"/>
        <v>562.5</v>
      </c>
      <c r="F136" s="27"/>
      <c r="G136" s="26">
        <f t="shared" si="13"/>
        <v>1000</v>
      </c>
      <c r="H136" s="26">
        <f t="shared" si="14"/>
        <v>917.19708713748</v>
      </c>
      <c r="I136" s="26">
        <f t="shared" si="17"/>
        <v>82.80291286252002</v>
      </c>
      <c r="J136" s="26">
        <f t="shared" si="15"/>
        <v>18009.18299572424</v>
      </c>
      <c r="K136" s="28"/>
    </row>
    <row r="137" spans="1:11" ht="12.75">
      <c r="A137" s="24">
        <f t="shared" si="10"/>
        <v>114</v>
      </c>
      <c r="B137" s="25">
        <f t="shared" si="11"/>
        <v>43044</v>
      </c>
      <c r="C137" s="26">
        <f t="shared" si="16"/>
        <v>18009.18299572424</v>
      </c>
      <c r="D137" s="26">
        <f t="shared" si="9"/>
        <v>437.49999999999994</v>
      </c>
      <c r="E137" s="27">
        <f t="shared" si="12"/>
        <v>562.5</v>
      </c>
      <c r="F137" s="27"/>
      <c r="G137" s="26">
        <f t="shared" si="13"/>
        <v>1000</v>
      </c>
      <c r="H137" s="26">
        <f t="shared" si="14"/>
        <v>921.2098243937064</v>
      </c>
      <c r="I137" s="26">
        <f t="shared" si="17"/>
        <v>78.79017560629354</v>
      </c>
      <c r="J137" s="26">
        <f t="shared" si="15"/>
        <v>17087.973171330534</v>
      </c>
      <c r="K137" s="28"/>
    </row>
    <row r="138" spans="1:11" ht="12.75">
      <c r="A138" s="24">
        <f t="shared" si="10"/>
        <v>115</v>
      </c>
      <c r="B138" s="25">
        <f t="shared" si="11"/>
        <v>43074</v>
      </c>
      <c r="C138" s="26">
        <f t="shared" si="16"/>
        <v>17087.973171330534</v>
      </c>
      <c r="D138" s="26">
        <f t="shared" si="9"/>
        <v>437.49999999999994</v>
      </c>
      <c r="E138" s="27">
        <f t="shared" si="12"/>
        <v>562.5</v>
      </c>
      <c r="F138" s="27"/>
      <c r="G138" s="26">
        <f t="shared" si="13"/>
        <v>1000</v>
      </c>
      <c r="H138" s="26">
        <f t="shared" si="14"/>
        <v>925.2401173754289</v>
      </c>
      <c r="I138" s="26">
        <f t="shared" si="17"/>
        <v>74.75988262457109</v>
      </c>
      <c r="J138" s="26">
        <f t="shared" si="15"/>
        <v>16162.733053955104</v>
      </c>
      <c r="K138" s="28"/>
    </row>
    <row r="139" spans="1:11" ht="12.75">
      <c r="A139" s="24">
        <f t="shared" si="10"/>
        <v>116</v>
      </c>
      <c r="B139" s="25">
        <f t="shared" si="11"/>
        <v>43105</v>
      </c>
      <c r="C139" s="26">
        <f t="shared" si="16"/>
        <v>16162.733053955104</v>
      </c>
      <c r="D139" s="26">
        <f t="shared" si="9"/>
        <v>437.49999999999994</v>
      </c>
      <c r="E139" s="27">
        <f t="shared" si="12"/>
        <v>562.5</v>
      </c>
      <c r="F139" s="27"/>
      <c r="G139" s="26">
        <f t="shared" si="13"/>
        <v>1000</v>
      </c>
      <c r="H139" s="26">
        <f t="shared" si="14"/>
        <v>929.2880428889464</v>
      </c>
      <c r="I139" s="26">
        <f t="shared" si="17"/>
        <v>70.71195711105358</v>
      </c>
      <c r="J139" s="26">
        <f t="shared" si="15"/>
        <v>15233.445011066158</v>
      </c>
      <c r="K139" s="28"/>
    </row>
    <row r="140" spans="1:11" ht="12.75">
      <c r="A140" s="24">
        <f t="shared" si="10"/>
        <v>117</v>
      </c>
      <c r="B140" s="25">
        <f t="shared" si="11"/>
        <v>43136</v>
      </c>
      <c r="C140" s="26">
        <f t="shared" si="16"/>
        <v>15233.445011066158</v>
      </c>
      <c r="D140" s="26">
        <f t="shared" si="9"/>
        <v>437.49999999999994</v>
      </c>
      <c r="E140" s="27">
        <f t="shared" si="12"/>
        <v>562.5</v>
      </c>
      <c r="F140" s="27"/>
      <c r="G140" s="26">
        <f t="shared" si="13"/>
        <v>1000</v>
      </c>
      <c r="H140" s="26">
        <f t="shared" si="14"/>
        <v>933.3536780765855</v>
      </c>
      <c r="I140" s="26">
        <f t="shared" si="17"/>
        <v>66.64632192341445</v>
      </c>
      <c r="J140" s="26">
        <f t="shared" si="15"/>
        <v>14300.091332989572</v>
      </c>
      <c r="K140" s="28"/>
    </row>
    <row r="141" spans="1:11" ht="12.75">
      <c r="A141" s="24">
        <f t="shared" si="10"/>
        <v>118</v>
      </c>
      <c r="B141" s="25">
        <f t="shared" si="11"/>
        <v>43164</v>
      </c>
      <c r="C141" s="26">
        <f t="shared" si="16"/>
        <v>14300.091332989572</v>
      </c>
      <c r="D141" s="26">
        <f t="shared" si="9"/>
        <v>437.49999999999994</v>
      </c>
      <c r="E141" s="27">
        <f t="shared" si="12"/>
        <v>562.5</v>
      </c>
      <c r="F141" s="27"/>
      <c r="G141" s="26">
        <f t="shared" si="13"/>
        <v>1000</v>
      </c>
      <c r="H141" s="26">
        <f t="shared" si="14"/>
        <v>937.4371004181706</v>
      </c>
      <c r="I141" s="26">
        <f t="shared" si="17"/>
        <v>62.56289958182938</v>
      </c>
      <c r="J141" s="26">
        <f t="shared" si="15"/>
        <v>13362.654232571402</v>
      </c>
      <c r="K141" s="28"/>
    </row>
    <row r="142" spans="1:11" ht="12.75">
      <c r="A142" s="24">
        <f t="shared" si="10"/>
        <v>119</v>
      </c>
      <c r="B142" s="25">
        <f t="shared" si="11"/>
        <v>43195</v>
      </c>
      <c r="C142" s="26">
        <f t="shared" si="16"/>
        <v>13362.654232571402</v>
      </c>
      <c r="D142" s="26">
        <f t="shared" si="9"/>
        <v>437.49999999999994</v>
      </c>
      <c r="E142" s="27">
        <f t="shared" si="12"/>
        <v>562.5</v>
      </c>
      <c r="F142" s="27"/>
      <c r="G142" s="26">
        <f t="shared" si="13"/>
        <v>1000</v>
      </c>
      <c r="H142" s="26">
        <f t="shared" si="14"/>
        <v>941.5383877325002</v>
      </c>
      <c r="I142" s="26">
        <f t="shared" si="17"/>
        <v>58.46161226749988</v>
      </c>
      <c r="J142" s="26">
        <f t="shared" si="15"/>
        <v>12421.115844838901</v>
      </c>
      <c r="K142" s="28"/>
    </row>
    <row r="143" spans="1:11" ht="12.75">
      <c r="A143" s="24">
        <f t="shared" si="10"/>
        <v>120</v>
      </c>
      <c r="B143" s="25">
        <f t="shared" si="11"/>
        <v>43225</v>
      </c>
      <c r="C143" s="26">
        <f t="shared" si="16"/>
        <v>12421.115844838901</v>
      </c>
      <c r="D143" s="26">
        <f t="shared" si="9"/>
        <v>437.49999999999994</v>
      </c>
      <c r="E143" s="27">
        <f t="shared" si="12"/>
        <v>562.5</v>
      </c>
      <c r="F143" s="27"/>
      <c r="G143" s="26">
        <f t="shared" si="13"/>
        <v>1000</v>
      </c>
      <c r="H143" s="26">
        <f t="shared" si="14"/>
        <v>945.6576181788298</v>
      </c>
      <c r="I143" s="26">
        <f t="shared" si="17"/>
        <v>54.34238182117019</v>
      </c>
      <c r="J143" s="26">
        <f t="shared" si="15"/>
        <v>11475.458226660072</v>
      </c>
      <c r="K143" s="28"/>
    </row>
    <row r="144" spans="1:11" ht="12.75">
      <c r="A144" s="24">
        <f t="shared" si="10"/>
        <v>121</v>
      </c>
      <c r="B144" s="25">
        <f t="shared" si="11"/>
        <v>43256</v>
      </c>
      <c r="C144" s="26">
        <f t="shared" si="16"/>
        <v>11475.458226660072</v>
      </c>
      <c r="D144" s="26">
        <f t="shared" si="9"/>
        <v>437.49999999999994</v>
      </c>
      <c r="E144" s="27">
        <f t="shared" si="12"/>
        <v>562.5</v>
      </c>
      <c r="F144" s="27"/>
      <c r="G144" s="26">
        <f t="shared" si="13"/>
        <v>1000</v>
      </c>
      <c r="H144" s="26">
        <f t="shared" si="14"/>
        <v>949.7948702583622</v>
      </c>
      <c r="I144" s="26">
        <f t="shared" si="17"/>
        <v>50.20512974163781</v>
      </c>
      <c r="J144" s="26">
        <f t="shared" si="15"/>
        <v>10525.66335640171</v>
      </c>
      <c r="K144" s="28"/>
    </row>
    <row r="145" spans="1:11" ht="12.75">
      <c r="A145" s="24">
        <f t="shared" si="10"/>
        <v>122</v>
      </c>
      <c r="B145" s="25">
        <f t="shared" si="11"/>
        <v>43286</v>
      </c>
      <c r="C145" s="26">
        <f t="shared" si="16"/>
        <v>10525.66335640171</v>
      </c>
      <c r="D145" s="26">
        <f t="shared" si="9"/>
        <v>437.49999999999994</v>
      </c>
      <c r="E145" s="27">
        <f t="shared" si="12"/>
        <v>562.5</v>
      </c>
      <c r="F145" s="27"/>
      <c r="G145" s="26">
        <f t="shared" si="13"/>
        <v>1000</v>
      </c>
      <c r="H145" s="26">
        <f t="shared" si="14"/>
        <v>953.9502228157426</v>
      </c>
      <c r="I145" s="26">
        <f t="shared" si="17"/>
        <v>46.049777184257486</v>
      </c>
      <c r="J145" s="26">
        <f t="shared" si="15"/>
        <v>9571.713133585967</v>
      </c>
      <c r="K145" s="28"/>
    </row>
    <row r="146" spans="1:11" ht="12.75">
      <c r="A146" s="24">
        <f t="shared" si="10"/>
        <v>123</v>
      </c>
      <c r="B146" s="25">
        <f t="shared" si="11"/>
        <v>43317</v>
      </c>
      <c r="C146" s="26">
        <f t="shared" si="16"/>
        <v>9571.713133585967</v>
      </c>
      <c r="D146" s="26">
        <f t="shared" si="9"/>
        <v>437.49999999999994</v>
      </c>
      <c r="E146" s="27">
        <f t="shared" si="12"/>
        <v>562.5</v>
      </c>
      <c r="F146" s="27"/>
      <c r="G146" s="26">
        <f t="shared" si="13"/>
        <v>1000</v>
      </c>
      <c r="H146" s="26">
        <f t="shared" si="14"/>
        <v>958.1237550405614</v>
      </c>
      <c r="I146" s="26">
        <f t="shared" si="17"/>
        <v>41.8762449594386</v>
      </c>
      <c r="J146" s="26">
        <f t="shared" si="15"/>
        <v>8613.589378545405</v>
      </c>
      <c r="K146" s="28"/>
    </row>
    <row r="147" spans="1:11" ht="12.75">
      <c r="A147" s="24">
        <f t="shared" si="10"/>
        <v>124</v>
      </c>
      <c r="B147" s="25">
        <f t="shared" si="11"/>
        <v>43348</v>
      </c>
      <c r="C147" s="26">
        <f t="shared" si="16"/>
        <v>8613.589378545405</v>
      </c>
      <c r="D147" s="26">
        <f t="shared" si="9"/>
        <v>437.49999999999994</v>
      </c>
      <c r="E147" s="27">
        <f t="shared" si="12"/>
        <v>562.5</v>
      </c>
      <c r="F147" s="27"/>
      <c r="G147" s="26">
        <f t="shared" si="13"/>
        <v>1000</v>
      </c>
      <c r="H147" s="26">
        <f t="shared" si="14"/>
        <v>962.3155464688639</v>
      </c>
      <c r="I147" s="26">
        <f t="shared" si="17"/>
        <v>37.68445353113614</v>
      </c>
      <c r="J147" s="26">
        <f t="shared" si="15"/>
        <v>7651.27383207654</v>
      </c>
      <c r="K147" s="28"/>
    </row>
    <row r="148" spans="1:11" ht="12.75">
      <c r="A148" s="24">
        <f t="shared" si="10"/>
        <v>125</v>
      </c>
      <c r="B148" s="25">
        <f t="shared" si="11"/>
        <v>43378</v>
      </c>
      <c r="C148" s="26">
        <f t="shared" si="16"/>
        <v>7651.27383207654</v>
      </c>
      <c r="D148" s="26">
        <f t="shared" si="9"/>
        <v>437.49999999999994</v>
      </c>
      <c r="E148" s="27">
        <f t="shared" si="12"/>
        <v>562.5</v>
      </c>
      <c r="F148" s="27"/>
      <c r="G148" s="26">
        <f t="shared" si="13"/>
        <v>1000</v>
      </c>
      <c r="H148" s="26">
        <f t="shared" si="14"/>
        <v>966.5256769846651</v>
      </c>
      <c r="I148" s="26">
        <f t="shared" si="17"/>
        <v>33.47432301533486</v>
      </c>
      <c r="J148" s="26">
        <f t="shared" si="15"/>
        <v>6684.748155091875</v>
      </c>
      <c r="K148" s="28"/>
    </row>
    <row r="149" spans="1:11" ht="12.75">
      <c r="A149" s="24">
        <f t="shared" si="10"/>
        <v>126</v>
      </c>
      <c r="B149" s="25">
        <f t="shared" si="11"/>
        <v>43409</v>
      </c>
      <c r="C149" s="26">
        <f t="shared" si="16"/>
        <v>6684.748155091875</v>
      </c>
      <c r="D149" s="26">
        <f t="shared" si="9"/>
        <v>437.49999999999994</v>
      </c>
      <c r="E149" s="27">
        <f t="shared" si="12"/>
        <v>562.5</v>
      </c>
      <c r="F149" s="27"/>
      <c r="G149" s="26">
        <f t="shared" si="13"/>
        <v>1000</v>
      </c>
      <c r="H149" s="26">
        <f t="shared" si="14"/>
        <v>970.754226821473</v>
      </c>
      <c r="I149" s="26">
        <f t="shared" si="17"/>
        <v>29.24577317852695</v>
      </c>
      <c r="J149" s="26">
        <f t="shared" si="15"/>
        <v>5713.993928270402</v>
      </c>
      <c r="K149" s="28"/>
    </row>
    <row r="150" spans="1:11" ht="12.75">
      <c r="A150" s="24">
        <f t="shared" si="10"/>
        <v>127</v>
      </c>
      <c r="B150" s="25">
        <f t="shared" si="11"/>
        <v>43439</v>
      </c>
      <c r="C150" s="26">
        <f t="shared" si="16"/>
        <v>5713.993928270402</v>
      </c>
      <c r="D150" s="26">
        <f t="shared" si="9"/>
        <v>437.49999999999994</v>
      </c>
      <c r="E150" s="27">
        <f t="shared" si="12"/>
        <v>562.5</v>
      </c>
      <c r="F150" s="27"/>
      <c r="G150" s="26">
        <f t="shared" si="13"/>
        <v>1000</v>
      </c>
      <c r="H150" s="26">
        <f t="shared" si="14"/>
        <v>975.001276563817</v>
      </c>
      <c r="I150" s="26">
        <f t="shared" si="17"/>
        <v>24.99872343618301</v>
      </c>
      <c r="J150" s="26">
        <f t="shared" si="15"/>
        <v>4738.992651706585</v>
      </c>
      <c r="K150" s="28"/>
    </row>
    <row r="151" spans="1:11" ht="12.75">
      <c r="A151" s="24">
        <f t="shared" si="10"/>
        <v>128</v>
      </c>
      <c r="B151" s="25">
        <f t="shared" si="11"/>
        <v>43470</v>
      </c>
      <c r="C151" s="26">
        <f t="shared" si="16"/>
        <v>4738.992651706585</v>
      </c>
      <c r="D151" s="26">
        <f t="shared" si="9"/>
        <v>437.49999999999994</v>
      </c>
      <c r="E151" s="27">
        <f t="shared" si="12"/>
        <v>562.5</v>
      </c>
      <c r="F151" s="27"/>
      <c r="G151" s="26">
        <f t="shared" si="13"/>
        <v>1000</v>
      </c>
      <c r="H151" s="26">
        <f t="shared" si="14"/>
        <v>979.2669071487837</v>
      </c>
      <c r="I151" s="26">
        <f t="shared" si="17"/>
        <v>20.73309285121631</v>
      </c>
      <c r="J151" s="26">
        <f t="shared" si="15"/>
        <v>3759.7257445578016</v>
      </c>
      <c r="K151" s="28"/>
    </row>
    <row r="152" spans="1:11" ht="12.75">
      <c r="A152" s="24">
        <f t="shared" si="10"/>
        <v>129</v>
      </c>
      <c r="B152" s="25">
        <f t="shared" si="11"/>
        <v>43501</v>
      </c>
      <c r="C152" s="26">
        <f t="shared" si="16"/>
        <v>3759.7257445578016</v>
      </c>
      <c r="D152" s="26">
        <f aca="true" t="shared" si="18" ref="D152:D178">IF(Pay_Num&lt;&gt;"",Scheduled_IO_Payment,"")</f>
        <v>437.49999999999994</v>
      </c>
      <c r="E152" s="27">
        <f t="shared" si="12"/>
        <v>562.5</v>
      </c>
      <c r="F152" s="27"/>
      <c r="G152" s="26">
        <f t="shared" si="13"/>
        <v>1000</v>
      </c>
      <c r="H152" s="26">
        <f t="shared" si="14"/>
        <v>983.5511998675596</v>
      </c>
      <c r="I152" s="26">
        <f t="shared" si="17"/>
        <v>16.448800132440383</v>
      </c>
      <c r="J152" s="26">
        <f t="shared" si="15"/>
        <v>2776.174544690242</v>
      </c>
      <c r="K152" s="28"/>
    </row>
    <row r="153" spans="1:11" ht="12.75">
      <c r="A153" s="24">
        <f aca="true" t="shared" si="19" ref="A153:A178">IF(Values_Entered,A152+1,"")</f>
        <v>130</v>
      </c>
      <c r="B153" s="25">
        <f aca="true" t="shared" si="20" ref="B153:B178">IF(Pay_Num&lt;&gt;"",DATE(YEAR(B152),MONTH(B152)+1,DAY(B152)),"")</f>
        <v>43529</v>
      </c>
      <c r="C153" s="26">
        <f t="shared" si="16"/>
        <v>2776.174544690242</v>
      </c>
      <c r="D153" s="26">
        <f t="shared" si="18"/>
        <v>437.49999999999994</v>
      </c>
      <c r="E153" s="27">
        <f aca="true" t="shared" si="21" ref="E153:E178">IF(Pay_Num&lt;&gt;"",Scheduled_Extra_Payments,"")</f>
        <v>562.5</v>
      </c>
      <c r="F153" s="27"/>
      <c r="G153" s="26">
        <f aca="true" t="shared" si="22" ref="G153:G178">IF(Pay_Num&lt;&gt;"",Sched_Pay+Extra_Pay+Lump_Sum,"")</f>
        <v>1000</v>
      </c>
      <c r="H153" s="26">
        <f aca="true" t="shared" si="23" ref="H153:H178">IF(Pay_Num&lt;&gt;"",Total_Pay-Int,"")</f>
        <v>987.8542363669802</v>
      </c>
      <c r="I153" s="26">
        <f t="shared" si="17"/>
        <v>12.145763633019806</v>
      </c>
      <c r="J153" s="26">
        <f aca="true" t="shared" si="24" ref="J153:J178">IF(Pay_Num&lt;&gt;"",Beg_Bal-Princ,"")</f>
        <v>1788.3203083232615</v>
      </c>
      <c r="K153" s="28"/>
    </row>
    <row r="154" spans="1:11" ht="12.75">
      <c r="A154" s="24">
        <f t="shared" si="19"/>
        <v>131</v>
      </c>
      <c r="B154" s="25">
        <f t="shared" si="20"/>
        <v>43560</v>
      </c>
      <c r="C154" s="26">
        <f aca="true" t="shared" si="25" ref="C154:C178">IF(Pay_Num&lt;&gt;"",J153,"")</f>
        <v>1788.3203083232615</v>
      </c>
      <c r="D154" s="26">
        <f t="shared" si="18"/>
        <v>437.49999999999994</v>
      </c>
      <c r="E154" s="27">
        <f t="shared" si="21"/>
        <v>562.5</v>
      </c>
      <c r="F154" s="27"/>
      <c r="G154" s="26">
        <f t="shared" si="22"/>
        <v>1000</v>
      </c>
      <c r="H154" s="26">
        <f t="shared" si="23"/>
        <v>992.1760986510857</v>
      </c>
      <c r="I154" s="26">
        <f aca="true" t="shared" si="26" ref="I154:I178">IF(Pay_Num&lt;&gt;"",Beg_Bal*Interest_Rate/12,"")</f>
        <v>7.823901348914269</v>
      </c>
      <c r="J154" s="26">
        <f t="shared" si="24"/>
        <v>796.1442096721759</v>
      </c>
      <c r="K154" s="28"/>
    </row>
    <row r="155" spans="1:11" ht="12.75">
      <c r="A155" s="24">
        <f t="shared" si="19"/>
        <v>132</v>
      </c>
      <c r="B155" s="25">
        <f t="shared" si="20"/>
        <v>43590</v>
      </c>
      <c r="C155" s="26">
        <f t="shared" si="25"/>
        <v>796.1442096721759</v>
      </c>
      <c r="D155" s="26">
        <f t="shared" si="18"/>
        <v>437.49999999999994</v>
      </c>
      <c r="E155" s="27">
        <f t="shared" si="21"/>
        <v>562.5</v>
      </c>
      <c r="F155" s="27"/>
      <c r="G155" s="26">
        <f t="shared" si="22"/>
        <v>1000</v>
      </c>
      <c r="H155" s="26">
        <f t="shared" si="23"/>
        <v>996.5168690826843</v>
      </c>
      <c r="I155" s="26">
        <f t="shared" si="26"/>
        <v>3.483130917315769</v>
      </c>
      <c r="J155" s="26">
        <f t="shared" si="24"/>
        <v>-200.3726594105084</v>
      </c>
      <c r="K155" s="28"/>
    </row>
    <row r="156" spans="1:11" ht="12.75">
      <c r="A156" s="24">
        <f t="shared" si="19"/>
        <v>133</v>
      </c>
      <c r="B156" s="25">
        <f t="shared" si="20"/>
        <v>43621</v>
      </c>
      <c r="C156" s="26">
        <f t="shared" si="25"/>
        <v>-200.3726594105084</v>
      </c>
      <c r="D156" s="26">
        <f t="shared" si="18"/>
        <v>437.49999999999994</v>
      </c>
      <c r="E156" s="27">
        <f t="shared" si="21"/>
        <v>562.5</v>
      </c>
      <c r="F156" s="27"/>
      <c r="G156" s="26">
        <f t="shared" si="22"/>
        <v>1000</v>
      </c>
      <c r="H156" s="26">
        <f t="shared" si="23"/>
        <v>1000.876630384921</v>
      </c>
      <c r="I156" s="26">
        <f t="shared" si="26"/>
        <v>-0.8766303849209742</v>
      </c>
      <c r="J156" s="26">
        <f t="shared" si="24"/>
        <v>-1201.2492897954294</v>
      </c>
      <c r="K156" s="28"/>
    </row>
    <row r="157" spans="1:11" ht="12.75">
      <c r="A157" s="24">
        <f t="shared" si="19"/>
        <v>134</v>
      </c>
      <c r="B157" s="25">
        <f t="shared" si="20"/>
        <v>43651</v>
      </c>
      <c r="C157" s="26">
        <f t="shared" si="25"/>
        <v>-1201.2492897954294</v>
      </c>
      <c r="D157" s="26">
        <f t="shared" si="18"/>
        <v>437.49999999999994</v>
      </c>
      <c r="E157" s="27">
        <f t="shared" si="21"/>
        <v>562.5</v>
      </c>
      <c r="F157" s="27"/>
      <c r="G157" s="26">
        <f t="shared" si="22"/>
        <v>1000</v>
      </c>
      <c r="H157" s="26">
        <f t="shared" si="23"/>
        <v>1005.255465642855</v>
      </c>
      <c r="I157" s="26">
        <f t="shared" si="26"/>
        <v>-5.255465642855003</v>
      </c>
      <c r="J157" s="26">
        <f t="shared" si="24"/>
        <v>-2206.5047554382845</v>
      </c>
      <c r="K157" s="28"/>
    </row>
    <row r="158" spans="1:11" ht="12.75">
      <c r="A158" s="24">
        <f t="shared" si="19"/>
        <v>135</v>
      </c>
      <c r="B158" s="25">
        <f t="shared" si="20"/>
        <v>43682</v>
      </c>
      <c r="C158" s="26">
        <f t="shared" si="25"/>
        <v>-2206.5047554382845</v>
      </c>
      <c r="D158" s="26">
        <f t="shared" si="18"/>
        <v>437.49999999999994</v>
      </c>
      <c r="E158" s="27">
        <f t="shared" si="21"/>
        <v>562.5</v>
      </c>
      <c r="F158" s="27"/>
      <c r="G158" s="26">
        <f t="shared" si="22"/>
        <v>1000</v>
      </c>
      <c r="H158" s="26">
        <f t="shared" si="23"/>
        <v>1009.6534583050425</v>
      </c>
      <c r="I158" s="26">
        <f t="shared" si="26"/>
        <v>-9.653458305042495</v>
      </c>
      <c r="J158" s="26">
        <f t="shared" si="24"/>
        <v>-3216.158213743327</v>
      </c>
      <c r="K158" s="28"/>
    </row>
    <row r="159" spans="1:11" ht="12.75">
      <c r="A159" s="24">
        <f t="shared" si="19"/>
        <v>136</v>
      </c>
      <c r="B159" s="25">
        <f t="shared" si="20"/>
        <v>43713</v>
      </c>
      <c r="C159" s="26">
        <f t="shared" si="25"/>
        <v>-3216.158213743327</v>
      </c>
      <c r="D159" s="26">
        <f t="shared" si="18"/>
        <v>437.49999999999994</v>
      </c>
      <c r="E159" s="27">
        <f t="shared" si="21"/>
        <v>562.5</v>
      </c>
      <c r="F159" s="27"/>
      <c r="G159" s="26">
        <f t="shared" si="22"/>
        <v>1000</v>
      </c>
      <c r="H159" s="26">
        <f t="shared" si="23"/>
        <v>1014.0706921851271</v>
      </c>
      <c r="I159" s="26">
        <f t="shared" si="26"/>
        <v>-14.070692185127056</v>
      </c>
      <c r="J159" s="26">
        <f t="shared" si="24"/>
        <v>-4230.228905928454</v>
      </c>
      <c r="K159" s="28"/>
    </row>
    <row r="160" spans="1:11" ht="12.75">
      <c r="A160" s="24">
        <f t="shared" si="19"/>
        <v>137</v>
      </c>
      <c r="B160" s="25">
        <f t="shared" si="20"/>
        <v>43743</v>
      </c>
      <c r="C160" s="26">
        <f t="shared" si="25"/>
        <v>-4230.228905928454</v>
      </c>
      <c r="D160" s="26">
        <f t="shared" si="18"/>
        <v>437.49999999999994</v>
      </c>
      <c r="E160" s="27">
        <f t="shared" si="21"/>
        <v>562.5</v>
      </c>
      <c r="F160" s="27"/>
      <c r="G160" s="26">
        <f t="shared" si="22"/>
        <v>1000</v>
      </c>
      <c r="H160" s="26">
        <f t="shared" si="23"/>
        <v>1018.507251463437</v>
      </c>
      <c r="I160" s="26">
        <f t="shared" si="26"/>
        <v>-18.507251463436983</v>
      </c>
      <c r="J160" s="26">
        <f t="shared" si="24"/>
        <v>-5248.736157391891</v>
      </c>
      <c r="K160" s="28"/>
    </row>
    <row r="161" spans="1:11" ht="12.75">
      <c r="A161" s="24">
        <f t="shared" si="19"/>
        <v>138</v>
      </c>
      <c r="B161" s="25">
        <f t="shared" si="20"/>
        <v>43774</v>
      </c>
      <c r="C161" s="26">
        <f t="shared" si="25"/>
        <v>-5248.736157391891</v>
      </c>
      <c r="D161" s="26">
        <f t="shared" si="18"/>
        <v>437.49999999999994</v>
      </c>
      <c r="E161" s="27">
        <f t="shared" si="21"/>
        <v>562.5</v>
      </c>
      <c r="F161" s="27"/>
      <c r="G161" s="26">
        <f t="shared" si="22"/>
        <v>1000</v>
      </c>
      <c r="H161" s="26">
        <f t="shared" si="23"/>
        <v>1022.9632206885896</v>
      </c>
      <c r="I161" s="26">
        <f t="shared" si="26"/>
        <v>-22.96322068858952</v>
      </c>
      <c r="J161" s="26">
        <f t="shared" si="24"/>
        <v>-6271.6993780804805</v>
      </c>
      <c r="K161" s="28"/>
    </row>
    <row r="162" spans="1:11" ht="12.75">
      <c r="A162" s="24">
        <f t="shared" si="19"/>
        <v>139</v>
      </c>
      <c r="B162" s="25">
        <f t="shared" si="20"/>
        <v>43804</v>
      </c>
      <c r="C162" s="26">
        <f t="shared" si="25"/>
        <v>-6271.6993780804805</v>
      </c>
      <c r="D162" s="26">
        <f t="shared" si="18"/>
        <v>437.49999999999994</v>
      </c>
      <c r="E162" s="27">
        <f t="shared" si="21"/>
        <v>562.5</v>
      </c>
      <c r="F162" s="27"/>
      <c r="G162" s="26">
        <f t="shared" si="22"/>
        <v>1000</v>
      </c>
      <c r="H162" s="26">
        <f t="shared" si="23"/>
        <v>1027.438684779102</v>
      </c>
      <c r="I162" s="26">
        <f t="shared" si="26"/>
        <v>-27.4386847791021</v>
      </c>
      <c r="J162" s="26">
        <f t="shared" si="24"/>
        <v>-7299.1380628595825</v>
      </c>
      <c r="K162" s="28"/>
    </row>
    <row r="163" spans="1:11" ht="12.75">
      <c r="A163" s="24">
        <f t="shared" si="19"/>
        <v>140</v>
      </c>
      <c r="B163" s="25">
        <f t="shared" si="20"/>
        <v>43835</v>
      </c>
      <c r="C163" s="26">
        <f t="shared" si="25"/>
        <v>-7299.1380628595825</v>
      </c>
      <c r="D163" s="26">
        <f t="shared" si="18"/>
        <v>437.49999999999994</v>
      </c>
      <c r="E163" s="27">
        <f t="shared" si="21"/>
        <v>562.5</v>
      </c>
      <c r="F163" s="27"/>
      <c r="G163" s="26">
        <f t="shared" si="22"/>
        <v>1000</v>
      </c>
      <c r="H163" s="26">
        <f t="shared" si="23"/>
        <v>1031.9337290250107</v>
      </c>
      <c r="I163" s="26">
        <f t="shared" si="26"/>
        <v>-31.933729025010674</v>
      </c>
      <c r="J163" s="26">
        <f t="shared" si="24"/>
        <v>-8331.071791884593</v>
      </c>
      <c r="K163" s="28"/>
    </row>
    <row r="164" spans="1:11" ht="12.75">
      <c r="A164" s="24">
        <f t="shared" si="19"/>
        <v>141</v>
      </c>
      <c r="B164" s="25">
        <f t="shared" si="20"/>
        <v>43866</v>
      </c>
      <c r="C164" s="26">
        <f t="shared" si="25"/>
        <v>-8331.071791884593</v>
      </c>
      <c r="D164" s="26">
        <f t="shared" si="18"/>
        <v>437.49999999999994</v>
      </c>
      <c r="E164" s="27">
        <f t="shared" si="21"/>
        <v>562.5</v>
      </c>
      <c r="F164" s="27"/>
      <c r="G164" s="26">
        <f t="shared" si="22"/>
        <v>1000</v>
      </c>
      <c r="H164" s="26">
        <f t="shared" si="23"/>
        <v>1036.4484390894952</v>
      </c>
      <c r="I164" s="26">
        <f t="shared" si="26"/>
        <v>-36.44843908949509</v>
      </c>
      <c r="J164" s="26">
        <f t="shared" si="24"/>
        <v>-9367.520230974089</v>
      </c>
      <c r="K164" s="28"/>
    </row>
    <row r="165" spans="1:11" ht="12.75">
      <c r="A165" s="24">
        <f t="shared" si="19"/>
        <v>142</v>
      </c>
      <c r="B165" s="25">
        <f t="shared" si="20"/>
        <v>43895</v>
      </c>
      <c r="C165" s="26">
        <f t="shared" si="25"/>
        <v>-9367.520230974089</v>
      </c>
      <c r="D165" s="26">
        <f t="shared" si="18"/>
        <v>437.49999999999994</v>
      </c>
      <c r="E165" s="27">
        <f t="shared" si="21"/>
        <v>562.5</v>
      </c>
      <c r="F165" s="27"/>
      <c r="G165" s="26">
        <f t="shared" si="22"/>
        <v>1000</v>
      </c>
      <c r="H165" s="26">
        <f t="shared" si="23"/>
        <v>1040.9829010105116</v>
      </c>
      <c r="I165" s="26">
        <f t="shared" si="26"/>
        <v>-40.98290101051164</v>
      </c>
      <c r="J165" s="26">
        <f t="shared" si="24"/>
        <v>-10408.5031319846</v>
      </c>
      <c r="K165" s="28"/>
    </row>
    <row r="166" spans="1:11" ht="12.75">
      <c r="A166" s="24">
        <f t="shared" si="19"/>
        <v>143</v>
      </c>
      <c r="B166" s="25">
        <f t="shared" si="20"/>
        <v>43926</v>
      </c>
      <c r="C166" s="26">
        <f t="shared" si="25"/>
        <v>-10408.5031319846</v>
      </c>
      <c r="D166" s="26">
        <f t="shared" si="18"/>
        <v>437.49999999999994</v>
      </c>
      <c r="E166" s="27">
        <f t="shared" si="21"/>
        <v>562.5</v>
      </c>
      <c r="F166" s="27"/>
      <c r="G166" s="26">
        <f t="shared" si="22"/>
        <v>1000</v>
      </c>
      <c r="H166" s="26">
        <f t="shared" si="23"/>
        <v>1045.5372012024327</v>
      </c>
      <c r="I166" s="26">
        <f t="shared" si="26"/>
        <v>-45.53720120243262</v>
      </c>
      <c r="J166" s="26">
        <f t="shared" si="24"/>
        <v>-11454.040333187033</v>
      </c>
      <c r="K166" s="28"/>
    </row>
    <row r="167" spans="1:11" ht="12.75">
      <c r="A167" s="24">
        <f t="shared" si="19"/>
        <v>144</v>
      </c>
      <c r="B167" s="25">
        <f t="shared" si="20"/>
        <v>43956</v>
      </c>
      <c r="C167" s="26">
        <f t="shared" si="25"/>
        <v>-11454.040333187033</v>
      </c>
      <c r="D167" s="26">
        <f t="shared" si="18"/>
        <v>437.49999999999994</v>
      </c>
      <c r="E167" s="27">
        <f t="shared" si="21"/>
        <v>562.5</v>
      </c>
      <c r="F167" s="27"/>
      <c r="G167" s="26">
        <f t="shared" si="22"/>
        <v>1000</v>
      </c>
      <c r="H167" s="26">
        <f t="shared" si="23"/>
        <v>1050.1114264576934</v>
      </c>
      <c r="I167" s="26">
        <f t="shared" si="26"/>
        <v>-50.11142645769326</v>
      </c>
      <c r="J167" s="26">
        <f t="shared" si="24"/>
        <v>-12504.151759644727</v>
      </c>
      <c r="K167" s="28"/>
    </row>
    <row r="168" spans="1:11" ht="12.75">
      <c r="A168" s="24">
        <f t="shared" si="19"/>
        <v>145</v>
      </c>
      <c r="B168" s="25">
        <f t="shared" si="20"/>
        <v>43987</v>
      </c>
      <c r="C168" s="26">
        <f t="shared" si="25"/>
        <v>-12504.151759644727</v>
      </c>
      <c r="D168" s="26">
        <f t="shared" si="18"/>
        <v>437.49999999999994</v>
      </c>
      <c r="E168" s="27">
        <f t="shared" si="21"/>
        <v>562.5</v>
      </c>
      <c r="F168" s="27"/>
      <c r="G168" s="26">
        <f t="shared" si="22"/>
        <v>1000</v>
      </c>
      <c r="H168" s="26">
        <f t="shared" si="23"/>
        <v>1054.7056639484456</v>
      </c>
      <c r="I168" s="26">
        <f t="shared" si="26"/>
        <v>-54.705663948445675</v>
      </c>
      <c r="J168" s="26">
        <f t="shared" si="24"/>
        <v>-13558.857423593172</v>
      </c>
      <c r="K168" s="28"/>
    </row>
    <row r="169" spans="1:11" ht="12.75">
      <c r="A169" s="24">
        <f t="shared" si="19"/>
        <v>146</v>
      </c>
      <c r="B169" s="25">
        <f t="shared" si="20"/>
        <v>44017</v>
      </c>
      <c r="C169" s="26">
        <f t="shared" si="25"/>
        <v>-13558.857423593172</v>
      </c>
      <c r="D169" s="26">
        <f t="shared" si="18"/>
        <v>437.49999999999994</v>
      </c>
      <c r="E169" s="27">
        <f t="shared" si="21"/>
        <v>562.5</v>
      </c>
      <c r="F169" s="27"/>
      <c r="G169" s="26">
        <f t="shared" si="22"/>
        <v>1000</v>
      </c>
      <c r="H169" s="26">
        <f t="shared" si="23"/>
        <v>1059.32000122822</v>
      </c>
      <c r="I169" s="26">
        <f t="shared" si="26"/>
        <v>-59.32000122822012</v>
      </c>
      <c r="J169" s="26">
        <f t="shared" si="24"/>
        <v>-14618.177424821391</v>
      </c>
      <c r="K169" s="28"/>
    </row>
    <row r="170" spans="1:11" ht="12.75">
      <c r="A170" s="24">
        <f t="shared" si="19"/>
        <v>147</v>
      </c>
      <c r="B170" s="25">
        <f t="shared" si="20"/>
        <v>44048</v>
      </c>
      <c r="C170" s="26">
        <f t="shared" si="25"/>
        <v>-14618.177424821391</v>
      </c>
      <c r="D170" s="26">
        <f t="shared" si="18"/>
        <v>437.49999999999994</v>
      </c>
      <c r="E170" s="27">
        <f t="shared" si="21"/>
        <v>562.5</v>
      </c>
      <c r="F170" s="27"/>
      <c r="G170" s="26">
        <f t="shared" si="22"/>
        <v>1000</v>
      </c>
      <c r="H170" s="26">
        <f t="shared" si="23"/>
        <v>1063.9545262335937</v>
      </c>
      <c r="I170" s="26">
        <f t="shared" si="26"/>
        <v>-63.95452623359358</v>
      </c>
      <c r="J170" s="26">
        <f t="shared" si="24"/>
        <v>-15682.131951054986</v>
      </c>
      <c r="K170" s="28"/>
    </row>
    <row r="171" spans="1:11" ht="12.75">
      <c r="A171" s="24">
        <f t="shared" si="19"/>
        <v>148</v>
      </c>
      <c r="B171" s="25">
        <f t="shared" si="20"/>
        <v>44079</v>
      </c>
      <c r="C171" s="26">
        <f t="shared" si="25"/>
        <v>-15682.131951054986</v>
      </c>
      <c r="D171" s="26">
        <f t="shared" si="18"/>
        <v>437.49999999999994</v>
      </c>
      <c r="E171" s="27">
        <f t="shared" si="21"/>
        <v>562.5</v>
      </c>
      <c r="F171" s="27"/>
      <c r="G171" s="26">
        <f t="shared" si="22"/>
        <v>1000</v>
      </c>
      <c r="H171" s="26">
        <f t="shared" si="23"/>
        <v>1068.6093272858657</v>
      </c>
      <c r="I171" s="26">
        <f t="shared" si="26"/>
        <v>-68.60932728586556</v>
      </c>
      <c r="J171" s="26">
        <f t="shared" si="24"/>
        <v>-16750.74127834085</v>
      </c>
      <c r="K171" s="28"/>
    </row>
    <row r="172" spans="1:11" ht="12.75">
      <c r="A172" s="24">
        <f t="shared" si="19"/>
        <v>149</v>
      </c>
      <c r="B172" s="25">
        <f t="shared" si="20"/>
        <v>44109</v>
      </c>
      <c r="C172" s="26">
        <f t="shared" si="25"/>
        <v>-16750.74127834085</v>
      </c>
      <c r="D172" s="26">
        <f t="shared" si="18"/>
        <v>437.49999999999994</v>
      </c>
      <c r="E172" s="27">
        <f t="shared" si="21"/>
        <v>562.5</v>
      </c>
      <c r="F172" s="27"/>
      <c r="G172" s="26">
        <f t="shared" si="22"/>
        <v>1000</v>
      </c>
      <c r="H172" s="26">
        <f t="shared" si="23"/>
        <v>1073.2844930927413</v>
      </c>
      <c r="I172" s="26">
        <f t="shared" si="26"/>
        <v>-73.28449309274122</v>
      </c>
      <c r="J172" s="26">
        <f t="shared" si="24"/>
        <v>-17824.025771433593</v>
      </c>
      <c r="K172" s="28"/>
    </row>
    <row r="173" spans="1:11" ht="12.75">
      <c r="A173" s="24">
        <f t="shared" si="19"/>
        <v>150</v>
      </c>
      <c r="B173" s="25">
        <f t="shared" si="20"/>
        <v>44140</v>
      </c>
      <c r="C173" s="26">
        <f t="shared" si="25"/>
        <v>-17824.025771433593</v>
      </c>
      <c r="D173" s="26">
        <f t="shared" si="18"/>
        <v>437.49999999999994</v>
      </c>
      <c r="E173" s="27">
        <f t="shared" si="21"/>
        <v>562.5</v>
      </c>
      <c r="F173" s="27"/>
      <c r="G173" s="26">
        <f t="shared" si="22"/>
        <v>1000</v>
      </c>
      <c r="H173" s="26">
        <f t="shared" si="23"/>
        <v>1077.980112750022</v>
      </c>
      <c r="I173" s="26">
        <f t="shared" si="26"/>
        <v>-77.98011275002197</v>
      </c>
      <c r="J173" s="26">
        <f t="shared" si="24"/>
        <v>-18902.005884183614</v>
      </c>
      <c r="K173" s="28"/>
    </row>
    <row r="174" spans="1:11" ht="12.75">
      <c r="A174" s="24">
        <f t="shared" si="19"/>
        <v>151</v>
      </c>
      <c r="B174" s="25">
        <f t="shared" si="20"/>
        <v>44170</v>
      </c>
      <c r="C174" s="26">
        <f t="shared" si="25"/>
        <v>-18902.005884183614</v>
      </c>
      <c r="D174" s="26">
        <f t="shared" si="18"/>
        <v>437.49999999999994</v>
      </c>
      <c r="E174" s="27">
        <f t="shared" si="21"/>
        <v>562.5</v>
      </c>
      <c r="F174" s="27"/>
      <c r="G174" s="26">
        <f t="shared" si="22"/>
        <v>1000</v>
      </c>
      <c r="H174" s="26">
        <f t="shared" si="23"/>
        <v>1082.6962757433032</v>
      </c>
      <c r="I174" s="26">
        <f t="shared" si="26"/>
        <v>-82.6962757433033</v>
      </c>
      <c r="J174" s="26">
        <f t="shared" si="24"/>
        <v>-19984.702159926917</v>
      </c>
      <c r="K174" s="28"/>
    </row>
    <row r="175" spans="1:11" ht="12.75">
      <c r="A175" s="24">
        <f t="shared" si="19"/>
        <v>152</v>
      </c>
      <c r="B175" s="25">
        <f t="shared" si="20"/>
        <v>44201</v>
      </c>
      <c r="C175" s="26">
        <f t="shared" si="25"/>
        <v>-19984.702159926917</v>
      </c>
      <c r="D175" s="26">
        <f t="shared" si="18"/>
        <v>437.49999999999994</v>
      </c>
      <c r="E175" s="27">
        <f t="shared" si="21"/>
        <v>562.5</v>
      </c>
      <c r="F175" s="27"/>
      <c r="G175" s="26">
        <f t="shared" si="22"/>
        <v>1000</v>
      </c>
      <c r="H175" s="26">
        <f t="shared" si="23"/>
        <v>1087.4330719496802</v>
      </c>
      <c r="I175" s="26">
        <f t="shared" si="26"/>
        <v>-87.43307194968025</v>
      </c>
      <c r="J175" s="26">
        <f t="shared" si="24"/>
        <v>-21072.135231876597</v>
      </c>
      <c r="K175" s="28"/>
    </row>
    <row r="176" spans="1:11" ht="12.75">
      <c r="A176" s="24">
        <f t="shared" si="19"/>
        <v>153</v>
      </c>
      <c r="B176" s="25">
        <f t="shared" si="20"/>
        <v>44232</v>
      </c>
      <c r="C176" s="26">
        <f t="shared" si="25"/>
        <v>-21072.135231876597</v>
      </c>
      <c r="D176" s="26">
        <f t="shared" si="18"/>
        <v>437.49999999999994</v>
      </c>
      <c r="E176" s="27">
        <f t="shared" si="21"/>
        <v>562.5</v>
      </c>
      <c r="F176" s="27"/>
      <c r="G176" s="26">
        <f t="shared" si="22"/>
        <v>1000</v>
      </c>
      <c r="H176" s="26">
        <f t="shared" si="23"/>
        <v>1092.19059163946</v>
      </c>
      <c r="I176" s="26">
        <f t="shared" si="26"/>
        <v>-92.1905916394601</v>
      </c>
      <c r="J176" s="26">
        <f t="shared" si="24"/>
        <v>-22164.325823516057</v>
      </c>
      <c r="K176" s="28"/>
    </row>
    <row r="177" spans="1:11" ht="12.75">
      <c r="A177" s="24">
        <f t="shared" si="19"/>
        <v>154</v>
      </c>
      <c r="B177" s="25">
        <f t="shared" si="20"/>
        <v>44260</v>
      </c>
      <c r="C177" s="26">
        <f t="shared" si="25"/>
        <v>-22164.325823516057</v>
      </c>
      <c r="D177" s="26">
        <f t="shared" si="18"/>
        <v>437.49999999999994</v>
      </c>
      <c r="E177" s="27">
        <f t="shared" si="21"/>
        <v>562.5</v>
      </c>
      <c r="F177" s="27"/>
      <c r="G177" s="26">
        <f t="shared" si="22"/>
        <v>1000</v>
      </c>
      <c r="H177" s="26">
        <f t="shared" si="23"/>
        <v>1096.9689254778827</v>
      </c>
      <c r="I177" s="26">
        <f t="shared" si="26"/>
        <v>-96.96892547788275</v>
      </c>
      <c r="J177" s="26">
        <f t="shared" si="24"/>
        <v>-23261.29474899394</v>
      </c>
      <c r="K177" s="28"/>
    </row>
    <row r="178" spans="1:11" ht="12.75">
      <c r="A178" s="24">
        <f t="shared" si="19"/>
        <v>155</v>
      </c>
      <c r="B178" s="25">
        <f t="shared" si="20"/>
        <v>44291</v>
      </c>
      <c r="C178" s="26">
        <f t="shared" si="25"/>
        <v>-23261.29474899394</v>
      </c>
      <c r="D178" s="26">
        <f t="shared" si="18"/>
        <v>437.49999999999994</v>
      </c>
      <c r="E178" s="27">
        <f t="shared" si="21"/>
        <v>562.5</v>
      </c>
      <c r="F178" s="27"/>
      <c r="G178" s="26">
        <f t="shared" si="22"/>
        <v>1000</v>
      </c>
      <c r="H178" s="26">
        <f t="shared" si="23"/>
        <v>1101.7681645268485</v>
      </c>
      <c r="I178" s="26">
        <f t="shared" si="26"/>
        <v>-101.76816452684848</v>
      </c>
      <c r="J178" s="26">
        <f t="shared" si="24"/>
        <v>-24363.06291352079</v>
      </c>
      <c r="K178" s="28"/>
    </row>
  </sheetData>
  <sheetProtection sheet="1" objects="1" scenarios="1" selectLockedCells="1"/>
  <conditionalFormatting sqref="K25:K73 A24:J178">
    <cfRule type="expression" priority="1" dxfId="0" stopIfTrue="1">
      <formula>IF(ROW(A24)&gt;Last_Row,TRUE,FALSE)</formula>
    </cfRule>
    <cfRule type="expression" priority="2" dxfId="1" stopIfTrue="1">
      <formula>IF(ROW(A24)=Last_Row,TRUE,FALSE)</formula>
    </cfRule>
  </conditionalFormatting>
  <printOptions/>
  <pageMargins left="0.75" right="0.5" top="0.5" bottom="0.5" header="0.5" footer="0.5"/>
  <pageSetup horizontalDpi="600" verticalDpi="600" orientation="portrait" scale="80" r:id="rId1"/>
  <ignoredErrors>
    <ignoredError sqref="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http://money.mvps.org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 with Extra Payments</dc:title>
  <dc:subject/>
  <dc:creator/>
  <cp:keywords/>
  <dc:description/>
  <cp:lastModifiedBy/>
  <cp:lastPrinted>2000-09-07T01:57:10Z</cp:lastPrinted>
  <dcterms:created xsi:type="dcterms:W3CDTF">2000-08-25T00:46:01Z</dcterms:created>
  <dcterms:modified xsi:type="dcterms:W3CDTF">2008-05-13T08:24:55Z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